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310" windowHeight="5070" activeTab="0"/>
  </bookViews>
  <sheets>
    <sheet name="WELCOME" sheetId="1" r:id="rId1"/>
    <sheet name="Navigation" sheetId="2" r:id="rId2"/>
    <sheet name="DATA" sheetId="3" r:id="rId3"/>
    <sheet name="PC1" sheetId="4" r:id="rId4"/>
    <sheet name="PC2" sheetId="5" r:id="rId5"/>
    <sheet name="PC3" sheetId="6" r:id="rId6"/>
    <sheet name="PC4" sheetId="7" r:id="rId7"/>
    <sheet name="PC5" sheetId="8" r:id="rId8"/>
    <sheet name="BMcost" sheetId="9" r:id="rId9"/>
    <sheet name="BMrev" sheetId="10" r:id="rId10"/>
    <sheet name="BMg" sheetId="11" r:id="rId11"/>
  </sheets>
  <definedNames>
    <definedName name="_xlnm.Print_Area" localSheetId="8">'BMcost'!$A$1:$K$24</definedName>
    <definedName name="_xlnm.Print_Area" localSheetId="10">'BMg'!$A$1:$K$21</definedName>
    <definedName name="_xlnm.Print_Area" localSheetId="9">'BMrev'!$A$1:$N$28</definedName>
    <definedName name="_xlnm.Print_Area" localSheetId="1">'Navigation'!$A$1:$E$11</definedName>
    <definedName name="_xlnm.Print_Area" localSheetId="3">'PC1'!$A$1:$I$30</definedName>
    <definedName name="_xlnm.Print_Area" localSheetId="4">'PC2'!$A$1:$I$31</definedName>
    <definedName name="_xlnm.Print_Area" localSheetId="5">'PC3'!$A$1:$J$31</definedName>
    <definedName name="_xlnm.Print_Area" localSheetId="6">'PC4'!$A$5:$J$31</definedName>
    <definedName name="_xlnm.Print_Area" localSheetId="7">'PC5'!$A$1:$I$31</definedName>
    <definedName name="_xlnm.Print_Area" localSheetId="0">'WELCOME'!$A$1:$A$73</definedName>
    <definedName name="Help">'Navigation'!$A$1</definedName>
  </definedNames>
  <calcPr fullCalcOnLoad="1"/>
</workbook>
</file>

<file path=xl/sharedStrings.xml><?xml version="1.0" encoding="utf-8"?>
<sst xmlns="http://schemas.openxmlformats.org/spreadsheetml/2006/main" count="259" uniqueCount="210">
  <si>
    <t>Hotel:</t>
  </si>
  <si>
    <t>Business-Mix</t>
  </si>
  <si>
    <t>Walk-In</t>
  </si>
  <si>
    <t>Total</t>
  </si>
  <si>
    <t>Rate</t>
  </si>
  <si>
    <t>Æ</t>
  </si>
  <si>
    <t xml:space="preserve">WILLKOMMEN !   BIENVENUE!   WELCOME!    </t>
  </si>
  <si>
    <t>To the World of  MagicWorkbooks®</t>
  </si>
  <si>
    <t>Contact:</t>
  </si>
  <si>
    <t>www.magicworkbooks.com</t>
  </si>
  <si>
    <t>WELCOME</t>
  </si>
  <si>
    <t>Text</t>
  </si>
  <si>
    <t>&amp;</t>
  </si>
  <si>
    <t>DATA</t>
  </si>
  <si>
    <t>Bmcost</t>
  </si>
  <si>
    <t>Bmrev</t>
  </si>
  <si>
    <t>PC1</t>
  </si>
  <si>
    <t>PC2</t>
  </si>
  <si>
    <t>PC3</t>
  </si>
  <si>
    <t>PC4</t>
  </si>
  <si>
    <t>Nights in white satin</t>
  </si>
  <si>
    <t>M</t>
  </si>
  <si>
    <t>R</t>
  </si>
  <si>
    <t>REST</t>
  </si>
  <si>
    <t>TOTAL</t>
  </si>
  <si>
    <t>%</t>
  </si>
  <si>
    <t>BMg</t>
  </si>
  <si>
    <t>PC5</t>
  </si>
  <si>
    <t>Hotel Yield Management</t>
  </si>
  <si>
    <t>Teach Yourself Tool</t>
  </si>
  <si>
    <t>Hotel Direct Costing</t>
  </si>
  <si>
    <t>Find out the profit share of your different customer groups.</t>
  </si>
  <si>
    <t>Find out how to increase your overall profit.</t>
  </si>
  <si>
    <t>This tool shows you how to apply the principles of</t>
  </si>
  <si>
    <t>direct costing in the hotel business.</t>
  </si>
  <si>
    <t>The secret of success:</t>
  </si>
  <si>
    <t>Being able to assess customer potential before your competitors do!</t>
  </si>
  <si>
    <t>This tool comprises:</t>
  </si>
  <si>
    <t xml:space="preserve">it contains no macros, requires no detailed knowledge of Excel or Excel </t>
  </si>
  <si>
    <t xml:space="preserve">programming, and only a minimum of data input while generating a host of </t>
  </si>
  <si>
    <t>spreadsheets and charts both for internal controlling purposes and presentations.</t>
  </si>
  <si>
    <r>
      <t>Hotel Direct Costing</t>
    </r>
    <r>
      <rPr>
        <b/>
        <sz val="12"/>
        <rFont val="Arial"/>
        <family val="2"/>
      </rPr>
      <t xml:space="preserve"> was developed for easy handling as an Excel workbook;</t>
    </r>
  </si>
  <si>
    <r>
      <t xml:space="preserve">How to work with  </t>
    </r>
    <r>
      <rPr>
        <b/>
        <sz val="14"/>
        <color indexed="16"/>
        <rFont val="Arial"/>
        <family val="2"/>
      </rPr>
      <t xml:space="preserve"> Hotel Direct Costing</t>
    </r>
  </si>
  <si>
    <t>Step 1</t>
  </si>
  <si>
    <t>go to sheet DATA</t>
  </si>
  <si>
    <t>Input your data using the demo data</t>
  </si>
  <si>
    <t>for orientation</t>
  </si>
  <si>
    <t>Step 2</t>
  </si>
  <si>
    <t>go to sheet PC 1</t>
  </si>
  <si>
    <t>and follow the directions from there.</t>
  </si>
  <si>
    <t>That's It!</t>
  </si>
  <si>
    <t>You can view / print all charts in this tool.</t>
  </si>
  <si>
    <r>
      <t xml:space="preserve">Just click on  </t>
    </r>
    <r>
      <rPr>
        <b/>
        <sz val="12"/>
        <rFont val="Arial"/>
        <family val="2"/>
      </rPr>
      <t xml:space="preserve"> </t>
    </r>
    <r>
      <rPr>
        <b/>
        <i/>
        <sz val="16"/>
        <color indexed="9"/>
        <rFont val="Book Antiqua"/>
        <family val="1"/>
      </rPr>
      <t>Nights in White Satin</t>
    </r>
    <r>
      <rPr>
        <b/>
        <sz val="12"/>
        <rFont val="Arial"/>
        <family val="2"/>
      </rPr>
      <t xml:space="preserve"> </t>
    </r>
    <r>
      <rPr>
        <b/>
        <sz val="12"/>
        <color indexed="55"/>
        <rFont val="Arial"/>
        <family val="2"/>
      </rPr>
      <t xml:space="preserve"> </t>
    </r>
  </si>
  <si>
    <t>Hyperlink navigation allows you to jump quickly between pages:</t>
  </si>
  <si>
    <r>
      <t xml:space="preserve">The table of contents </t>
    </r>
    <r>
      <rPr>
        <b/>
        <sz val="12"/>
        <color indexed="12"/>
        <rFont val="Arial"/>
        <family val="2"/>
      </rPr>
      <t>"Navigation"</t>
    </r>
    <r>
      <rPr>
        <b/>
        <sz val="12"/>
        <rFont val="Arial"/>
        <family val="2"/>
      </rPr>
      <t xml:space="preserve"> shows all available charts and spreadsheets.</t>
    </r>
  </si>
  <si>
    <t>Any further questions?  For free help contact</t>
  </si>
  <si>
    <r>
      <t>your</t>
    </r>
    <r>
      <rPr>
        <b/>
        <sz val="12"/>
        <color indexed="16"/>
        <rFont val="Arial"/>
        <family val="2"/>
      </rPr>
      <t xml:space="preserve"> MagicWorkbooks</t>
    </r>
    <r>
      <rPr>
        <b/>
        <sz val="12"/>
        <color indexed="16"/>
        <rFont val="Arial"/>
        <family val="0"/>
      </rPr>
      <t>®</t>
    </r>
    <r>
      <rPr>
        <b/>
        <sz val="12"/>
        <color indexed="61"/>
        <rFont val="Arial"/>
        <family val="2"/>
      </rPr>
      <t xml:space="preserve"> </t>
    </r>
    <r>
      <rPr>
        <b/>
        <sz val="12"/>
        <rFont val="Arial"/>
        <family val="2"/>
      </rPr>
      <t>Team</t>
    </r>
  </si>
  <si>
    <t>CONTENTS</t>
  </si>
  <si>
    <t>click book to get to page</t>
  </si>
  <si>
    <t>contains</t>
  </si>
  <si>
    <t>type</t>
  </si>
  <si>
    <t>sheet</t>
  </si>
  <si>
    <t>spreadsheet</t>
  </si>
  <si>
    <t>graph</t>
  </si>
  <si>
    <t>Introduction</t>
  </si>
  <si>
    <t>DATA INPUT</t>
  </si>
  <si>
    <t>Please input your data in the yellow cells only.</t>
  </si>
  <si>
    <t>Do not overwrite formula cells.  Do not delete rows or columns as this may</t>
  </si>
  <si>
    <t>destroy the functionality of this tool!</t>
  </si>
  <si>
    <t>Rooms:</t>
  </si>
  <si>
    <t>Year:</t>
  </si>
  <si>
    <t>Reporting currency:</t>
  </si>
  <si>
    <t>Sales Tax (if applicable)</t>
  </si>
  <si>
    <t>Amaryllis</t>
  </si>
  <si>
    <t>SFR</t>
  </si>
  <si>
    <t>DATA last year and BUDGET DATA current year</t>
  </si>
  <si>
    <t>To get important key ratios it is necessary to have a complete year's data.  So please enter the data for the last complete business</t>
  </si>
  <si>
    <t>year.  And right next to that, please input your budget (or projection) data for the current business year.</t>
  </si>
  <si>
    <t>LAST YEAR</t>
  </si>
  <si>
    <t>BUDGET (Projection)</t>
  </si>
  <si>
    <t>% variance</t>
  </si>
  <si>
    <t>occupied rooms</t>
  </si>
  <si>
    <t>roomnights</t>
  </si>
  <si>
    <t>double occupancy</t>
  </si>
  <si>
    <t>Rooms Revenue</t>
  </si>
  <si>
    <t>Rooms Cost</t>
  </si>
  <si>
    <t>Rooms Margin</t>
  </si>
  <si>
    <t>Ratios:</t>
  </si>
  <si>
    <t>Occupancy</t>
  </si>
  <si>
    <t>Average Room Rate</t>
  </si>
  <si>
    <t xml:space="preserve">This is where you input the variable cost of your rooms department.  You can choose between </t>
  </si>
  <si>
    <t>data input per room (say, you have a room cleaning service which charges per room)</t>
  </si>
  <si>
    <t>or data input as a yearly total which will then be allocated to the rooms.</t>
  </si>
  <si>
    <t>data input</t>
  </si>
  <si>
    <t>per room</t>
  </si>
  <si>
    <t>or allocation</t>
  </si>
  <si>
    <t>Total yearly expenses</t>
  </si>
  <si>
    <t>thereof: rooms department</t>
  </si>
  <si>
    <t>Room cleaning</t>
  </si>
  <si>
    <t>Laundry</t>
  </si>
  <si>
    <t>Replacement provision</t>
  </si>
  <si>
    <t>Utilities</t>
  </si>
  <si>
    <t>Supplies</t>
  </si>
  <si>
    <t>Estimate the price changes for the current year!</t>
  </si>
  <si>
    <t>per room and night</t>
  </si>
  <si>
    <t>1 person</t>
  </si>
  <si>
    <t>2 persons</t>
  </si>
  <si>
    <t>total variable costs</t>
  </si>
  <si>
    <t>Please input your business-mix data in the table below.</t>
  </si>
  <si>
    <t>You do not need to fill in all 15 rows.  If your hotel habitually caters to only a few groups</t>
  </si>
  <si>
    <t>of customers then just input those and leave the rest empty:</t>
  </si>
  <si>
    <t>Customer group</t>
  </si>
  <si>
    <t>average persons p. room</t>
  </si>
  <si>
    <t>No. of guests</t>
  </si>
  <si>
    <t>rooms sold</t>
  </si>
  <si>
    <t>Average room rate</t>
  </si>
  <si>
    <t>checking totals</t>
  </si>
  <si>
    <t>That's It.  End of Data input.</t>
  </si>
  <si>
    <t>Total Rooms Cost</t>
  </si>
  <si>
    <t>divided by</t>
  </si>
  <si>
    <t>equals:</t>
  </si>
  <si>
    <t>cost per roomnight</t>
  </si>
  <si>
    <t>per roomnight:</t>
  </si>
  <si>
    <t>variable costs</t>
  </si>
  <si>
    <t>fixed costs</t>
  </si>
  <si>
    <t>Totals:</t>
  </si>
  <si>
    <t>Direct Costing:  THE RULES</t>
  </si>
  <si>
    <t>1. Don't ever sell below the variable (direct) costs.</t>
  </si>
  <si>
    <t>2. Every sale above the variable costs generates a margin (towards covering your fixed costs).</t>
  </si>
  <si>
    <t>3. The sum of all these margins should be at least as high as your fixed costs.</t>
  </si>
  <si>
    <t>4. You do not make a profit before the sum of these margins is higher than your fixed costs.</t>
  </si>
  <si>
    <t>next:</t>
  </si>
  <si>
    <t>click here!</t>
  </si>
  <si>
    <t>Example:</t>
  </si>
  <si>
    <t>variable costs per room:</t>
  </si>
  <si>
    <t>fixed costs per room:</t>
  </si>
  <si>
    <t>total costs per room:</t>
  </si>
  <si>
    <t>margin</t>
  </si>
  <si>
    <t>Total margins</t>
  </si>
  <si>
    <t>Total fixed costs</t>
  </si>
  <si>
    <r>
      <t xml:space="preserve">Rooms are sold at different rates, the </t>
    </r>
    <r>
      <rPr>
        <b/>
        <sz val="10"/>
        <color indexed="10"/>
        <rFont val="Arial"/>
        <family val="2"/>
      </rPr>
      <t>two rates marked in red</t>
    </r>
    <r>
      <rPr>
        <b/>
        <sz val="10"/>
        <rFont val="Arial"/>
        <family val="2"/>
      </rPr>
      <t xml:space="preserve"> are lower than the total costs per room. The hotel makes</t>
    </r>
  </si>
  <si>
    <r>
      <t xml:space="preserve">an overall profit.   Question:  </t>
    </r>
    <r>
      <rPr>
        <b/>
        <sz val="10"/>
        <color indexed="10"/>
        <rFont val="Arial"/>
        <family val="2"/>
      </rPr>
      <t>will the profit increase if the two low-rate segments are deleted</t>
    </r>
    <r>
      <rPr>
        <b/>
        <sz val="10"/>
        <rFont val="Arial"/>
        <family val="2"/>
      </rPr>
      <t>?</t>
    </r>
  </si>
  <si>
    <t>Profit / Loss =</t>
  </si>
  <si>
    <t>minus fixed costs</t>
  </si>
  <si>
    <t>Now we have deleted the low-rate segments.  What happens?  1. The hotel shows an overall loss!  2.  The fixed costs</t>
  </si>
  <si>
    <t>per room have risen dramatically because they now refer to far fewer rooms sold!</t>
  </si>
  <si>
    <t>Margin</t>
  </si>
  <si>
    <t>and now you should practise</t>
  </si>
  <si>
    <t>with your own figures:</t>
  </si>
  <si>
    <t>This is your own cost situation:</t>
  </si>
  <si>
    <t>in the yellow cells you can experiment with different rates and occupancy to find out</t>
  </si>
  <si>
    <t>which combination is the most profitable for your hotel!</t>
  </si>
  <si>
    <t>Budget Direct Costing</t>
  </si>
  <si>
    <t>persons</t>
  </si>
  <si>
    <t>Average bottom price for the current year</t>
  </si>
  <si>
    <t>Your own cost data!</t>
  </si>
  <si>
    <t>Bottom price equals variable costs.  Every cent above variable costs is one cent of margin and consequently</t>
  </si>
  <si>
    <t>one small step towards profit!</t>
  </si>
  <si>
    <t>bottom price (average)</t>
  </si>
  <si>
    <t>For fine tuning you should also look at your occupancy factor.  It does make a difference</t>
  </si>
  <si>
    <t>if your average occupancy is one person per room or two (or even more).</t>
  </si>
  <si>
    <t>Let's have a look at the bottom price with the occupancy factored in:</t>
  </si>
  <si>
    <t>This is your "weighted" average bottom price:</t>
  </si>
  <si>
    <t>variable costs single occ.:</t>
  </si>
  <si>
    <t>variable costs double occ.:</t>
  </si>
  <si>
    <t>So these are your ROCK BOTTOM prices:</t>
  </si>
  <si>
    <t>Single without breakfast</t>
  </si>
  <si>
    <t>Double without breakfast</t>
  </si>
  <si>
    <t>net</t>
  </si>
  <si>
    <t>sales tax</t>
  </si>
  <si>
    <t>gross</t>
  </si>
  <si>
    <t>to look at the calculation</t>
  </si>
  <si>
    <t>Variable costs per guest group    (Last Year)</t>
  </si>
  <si>
    <t>No.</t>
  </si>
  <si>
    <t>Total variable costs</t>
  </si>
  <si>
    <t>Rank variable costs</t>
  </si>
  <si>
    <t>legend</t>
  </si>
  <si>
    <t xml:space="preserve">   the 3 top cost guest segments</t>
  </si>
  <si>
    <t>Revenue and Margin       (LAST YEAR)</t>
  </si>
  <si>
    <t xml:space="preserve">No. </t>
  </si>
  <si>
    <t>Rank rooms sold</t>
  </si>
  <si>
    <t>Rank Revenue</t>
  </si>
  <si>
    <t>Rank Margin</t>
  </si>
  <si>
    <t>Margin per roomnight</t>
  </si>
  <si>
    <t>Total Revenue</t>
  </si>
  <si>
    <t>Total Margin</t>
  </si>
  <si>
    <t>Margin %</t>
  </si>
  <si>
    <t>TOP 3 Guest segments by Margin</t>
  </si>
  <si>
    <t>Guest segments with negative margin - you're losing money!</t>
  </si>
  <si>
    <t>local corporate 1</t>
  </si>
  <si>
    <t>local corporate 2</t>
  </si>
  <si>
    <t>local corporate 3</t>
  </si>
  <si>
    <t>local corporate 4</t>
  </si>
  <si>
    <t>local corporate 5</t>
  </si>
  <si>
    <t>local corporate 6</t>
  </si>
  <si>
    <t>local corporate 7</t>
  </si>
  <si>
    <t>local corporate 8</t>
  </si>
  <si>
    <t>Week-end</t>
  </si>
  <si>
    <t>convention</t>
  </si>
  <si>
    <t>Specials</t>
  </si>
  <si>
    <t>Weddings</t>
  </si>
  <si>
    <t>Concerts</t>
  </si>
  <si>
    <t>various</t>
  </si>
  <si>
    <t>TOP 5    Rooms sold and revenue     (LAST YEAR)</t>
  </si>
  <si>
    <t>TOP 5         Revenue</t>
  </si>
  <si>
    <t>TOP 5     Rooms sold</t>
  </si>
  <si>
    <t>Direct Costing in the hotel business - part 1</t>
  </si>
  <si>
    <t>Direct Costing in the hotel business - part 2</t>
  </si>
  <si>
    <t>Do it yourself: Direct Costing with your own figures - experiment and learn!</t>
  </si>
  <si>
    <t>and lots more...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</si>
</sst>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#,##0.0"/>
    <numFmt numFmtId="166" formatCode="#,##0_ ;[Red]\-#,##0\ "/>
    <numFmt numFmtId="167" formatCode="#,##0.00_ ;[Red]\-#,##0.00\ "/>
    <numFmt numFmtId="168" formatCode="#,##0\ %;[Red]\-#,##0\ %"/>
    <numFmt numFmtId="169" formatCode="#,##0%;[Red]\-#,##0%"/>
    <numFmt numFmtId="170" formatCode="0.0"/>
    <numFmt numFmtId="171" formatCode="dd/mm/yy"/>
    <numFmt numFmtId="172" formatCode="#,##0\ &quot;€&quot;"/>
    <numFmt numFmtId="173" formatCode="#,##0.00\ &quot;€&quot;"/>
    <numFmt numFmtId="174" formatCode="d/m/yy;@"/>
    <numFmt numFmtId="175" formatCode="0.0%"/>
    <numFmt numFmtId="176" formatCode="#,##0.0\ &quot;€&quot;"/>
    <numFmt numFmtId="177" formatCode=";;;"/>
  </numFmts>
  <fonts count="8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b/>
      <i/>
      <sz val="10"/>
      <color indexed="17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9"/>
      <name val="Arial"/>
      <family val="0"/>
    </font>
    <font>
      <b/>
      <sz val="10"/>
      <color indexed="16"/>
      <name val="Arial"/>
      <family val="2"/>
    </font>
    <font>
      <sz val="10"/>
      <color indexed="13"/>
      <name val="Arial"/>
      <family val="0"/>
    </font>
    <font>
      <b/>
      <i/>
      <sz val="10"/>
      <color indexed="13"/>
      <name val="Arial"/>
      <family val="2"/>
    </font>
    <font>
      <b/>
      <sz val="12"/>
      <color indexed="16"/>
      <name val="Arial"/>
      <family val="2"/>
    </font>
    <font>
      <b/>
      <sz val="16"/>
      <color indexed="13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6"/>
      <name val="Arial"/>
      <family val="2"/>
    </font>
    <font>
      <b/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1"/>
      <color indexed="12"/>
      <name val="Arial"/>
      <family val="2"/>
    </font>
    <font>
      <b/>
      <sz val="11"/>
      <color indexed="14"/>
      <name val="Arial"/>
      <family val="2"/>
    </font>
    <font>
      <b/>
      <sz val="11"/>
      <color indexed="56"/>
      <name val="Arial"/>
      <family val="2"/>
    </font>
    <font>
      <b/>
      <sz val="11"/>
      <color indexed="17"/>
      <name val="Arial"/>
      <family val="2"/>
    </font>
    <font>
      <b/>
      <i/>
      <sz val="10"/>
      <color indexed="10"/>
      <name val="Arial"/>
      <family val="2"/>
    </font>
    <font>
      <b/>
      <sz val="12"/>
      <name val="Symbol"/>
      <family val="1"/>
    </font>
    <font>
      <b/>
      <sz val="8"/>
      <color indexed="12"/>
      <name val="Arial"/>
      <family val="0"/>
    </font>
    <font>
      <b/>
      <sz val="8"/>
      <color indexed="16"/>
      <name val="Arial"/>
      <family val="0"/>
    </font>
    <font>
      <b/>
      <sz val="9"/>
      <color indexed="12"/>
      <name val="Arial"/>
      <family val="2"/>
    </font>
    <font>
      <b/>
      <sz val="9"/>
      <color indexed="16"/>
      <name val="Arial"/>
      <family val="2"/>
    </font>
    <font>
      <b/>
      <i/>
      <sz val="14"/>
      <name val="Arial"/>
      <family val="2"/>
    </font>
    <font>
      <b/>
      <i/>
      <sz val="12"/>
      <color indexed="13"/>
      <name val="Arial"/>
      <family val="2"/>
    </font>
    <font>
      <sz val="12"/>
      <color indexed="13"/>
      <name val="Arial"/>
      <family val="2"/>
    </font>
    <font>
      <b/>
      <sz val="12"/>
      <color indexed="12"/>
      <name val="Arial"/>
      <family val="2"/>
    </font>
    <font>
      <b/>
      <sz val="8"/>
      <color indexed="10"/>
      <name val="Arial"/>
      <family val="0"/>
    </font>
    <font>
      <u val="single"/>
      <sz val="8"/>
      <color indexed="12"/>
      <name val="Arial"/>
      <family val="0"/>
    </font>
    <font>
      <b/>
      <sz val="22"/>
      <color indexed="9"/>
      <name val="Arial"/>
      <family val="2"/>
    </font>
    <font>
      <b/>
      <sz val="20"/>
      <color indexed="9"/>
      <name val="Arial"/>
      <family val="2"/>
    </font>
    <font>
      <b/>
      <u val="single"/>
      <sz val="8"/>
      <color indexed="53"/>
      <name val="Arial"/>
      <family val="2"/>
    </font>
    <font>
      <b/>
      <i/>
      <sz val="24"/>
      <color indexed="16"/>
      <name val="Arial"/>
      <family val="2"/>
    </font>
    <font>
      <b/>
      <i/>
      <sz val="16"/>
      <color indexed="16"/>
      <name val="Arial"/>
      <family val="2"/>
    </font>
    <font>
      <b/>
      <i/>
      <sz val="14"/>
      <color indexed="57"/>
      <name val="Arial"/>
      <family val="2"/>
    </font>
    <font>
      <b/>
      <i/>
      <sz val="12"/>
      <color indexed="16"/>
      <name val="Arial"/>
      <family val="2"/>
    </font>
    <font>
      <b/>
      <i/>
      <sz val="14"/>
      <color indexed="12"/>
      <name val="Arial"/>
      <family val="2"/>
    </font>
    <font>
      <b/>
      <i/>
      <sz val="14"/>
      <color indexed="60"/>
      <name val="Arial"/>
      <family val="2"/>
    </font>
    <font>
      <b/>
      <i/>
      <sz val="18"/>
      <color indexed="11"/>
      <name val="Arial"/>
      <family val="2"/>
    </font>
    <font>
      <b/>
      <i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sz val="14"/>
      <color indexed="16"/>
      <name val="Arial"/>
      <family val="2"/>
    </font>
    <font>
      <b/>
      <sz val="14"/>
      <name val="Arial"/>
      <family val="2"/>
    </font>
    <font>
      <b/>
      <sz val="12"/>
      <color indexed="17"/>
      <name val="Arial"/>
      <family val="2"/>
    </font>
    <font>
      <b/>
      <sz val="12"/>
      <color indexed="61"/>
      <name val="Arial"/>
      <family val="2"/>
    </font>
    <font>
      <b/>
      <sz val="16"/>
      <color indexed="41"/>
      <name val="Arial"/>
      <family val="2"/>
    </font>
    <font>
      <b/>
      <sz val="10"/>
      <color indexed="60"/>
      <name val="Arial"/>
      <family val="2"/>
    </font>
    <font>
      <b/>
      <sz val="14"/>
      <color indexed="60"/>
      <name val="Arial"/>
      <family val="2"/>
    </font>
    <font>
      <sz val="36"/>
      <color indexed="16"/>
      <name val="Wingdings"/>
      <family val="0"/>
    </font>
    <font>
      <b/>
      <i/>
      <sz val="10"/>
      <name val="Arial"/>
      <family val="2"/>
    </font>
    <font>
      <b/>
      <sz val="14"/>
      <color indexed="17"/>
      <name val="Arial"/>
      <family val="2"/>
    </font>
    <font>
      <b/>
      <i/>
      <sz val="18"/>
      <color indexed="9"/>
      <name val="Book Antiqua"/>
      <family val="1"/>
    </font>
    <font>
      <b/>
      <i/>
      <sz val="20"/>
      <color indexed="9"/>
      <name val="Book Antiqua"/>
      <family val="1"/>
    </font>
    <font>
      <b/>
      <i/>
      <sz val="16"/>
      <color indexed="9"/>
      <name val="Book Antiqua"/>
      <family val="1"/>
    </font>
    <font>
      <b/>
      <sz val="10"/>
      <color indexed="13"/>
      <name val="Arial"/>
      <family val="2"/>
    </font>
    <font>
      <b/>
      <sz val="11"/>
      <color indexed="13"/>
      <name val="Arial"/>
      <family val="2"/>
    </font>
    <font>
      <b/>
      <i/>
      <sz val="14"/>
      <color indexed="13"/>
      <name val="Arial"/>
      <family val="2"/>
    </font>
    <font>
      <i/>
      <sz val="10"/>
      <color indexed="12"/>
      <name val="Arial"/>
      <family val="2"/>
    </font>
    <font>
      <b/>
      <i/>
      <sz val="11"/>
      <name val="Arial"/>
      <family val="2"/>
    </font>
    <font>
      <sz val="8.5"/>
      <name val="Arial"/>
      <family val="0"/>
    </font>
    <font>
      <b/>
      <sz val="9.75"/>
      <name val="Arial"/>
      <family val="2"/>
    </font>
    <font>
      <b/>
      <sz val="8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b/>
      <sz val="9"/>
      <name val="Arial"/>
      <family val="2"/>
    </font>
    <font>
      <b/>
      <sz val="12"/>
      <color indexed="55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53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i/>
      <sz val="14"/>
      <color indexed="16"/>
      <name val="Arial"/>
      <family val="2"/>
    </font>
    <font>
      <b/>
      <i/>
      <sz val="24"/>
      <color indexed="13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17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double">
        <color indexed="60"/>
      </left>
      <right style="double">
        <color indexed="60"/>
      </right>
      <top style="double">
        <color indexed="60"/>
      </top>
      <bottom>
        <color indexed="63"/>
      </bottom>
    </border>
    <border>
      <left style="double">
        <color indexed="60"/>
      </left>
      <right style="double">
        <color indexed="60"/>
      </right>
      <top>
        <color indexed="63"/>
      </top>
      <bottom>
        <color indexed="63"/>
      </bottom>
    </border>
    <border>
      <left style="double">
        <color indexed="16"/>
      </left>
      <right style="double">
        <color indexed="16"/>
      </right>
      <top style="thin">
        <color indexed="16"/>
      </top>
      <bottom>
        <color indexed="63"/>
      </bottom>
    </border>
    <border>
      <left style="double">
        <color indexed="16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 style="double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dashed">
        <color indexed="53"/>
      </left>
      <right style="dashed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/>
    </xf>
    <xf numFmtId="0" fontId="3" fillId="0" borderId="0" xfId="0" applyFont="1" applyAlignment="1">
      <alignment/>
    </xf>
    <xf numFmtId="3" fontId="0" fillId="2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9" fontId="0" fillId="2" borderId="1" xfId="22" applyFill="1" applyBorder="1" applyAlignment="1">
      <alignment/>
    </xf>
    <xf numFmtId="4" fontId="0" fillId="0" borderId="1" xfId="0" applyNumberFormat="1" applyFill="1" applyBorder="1" applyAlignment="1">
      <alignment horizontal="right"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/>
    </xf>
    <xf numFmtId="3" fontId="0" fillId="0" borderId="3" xfId="0" applyNumberForma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/>
    </xf>
    <xf numFmtId="3" fontId="0" fillId="0" borderId="5" xfId="0" applyNumberForma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0" fillId="0" borderId="6" xfId="0" applyBorder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9" fontId="1" fillId="0" borderId="7" xfId="22" applyFont="1" applyFill="1" applyBorder="1" applyAlignment="1">
      <alignment/>
    </xf>
    <xf numFmtId="167" fontId="0" fillId="0" borderId="3" xfId="0" applyNumberFormat="1" applyFill="1" applyBorder="1" applyAlignment="1">
      <alignment/>
    </xf>
    <xf numFmtId="167" fontId="0" fillId="0" borderId="4" xfId="0" applyNumberFormat="1" applyFill="1" applyBorder="1" applyAlignment="1">
      <alignment/>
    </xf>
    <xf numFmtId="167" fontId="0" fillId="0" borderId="5" xfId="0" applyNumberFormat="1" applyFill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3" fontId="0" fillId="2" borderId="1" xfId="22" applyNumberFormat="1" applyFill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2" fontId="1" fillId="0" borderId="8" xfId="0" applyNumberFormat="1" applyFont="1" applyBorder="1" applyAlignment="1">
      <alignment/>
    </xf>
    <xf numFmtId="0" fontId="1" fillId="0" borderId="8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3" fontId="0" fillId="2" borderId="11" xfId="0" applyNumberForma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8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6" fontId="21" fillId="0" borderId="1" xfId="0" applyNumberFormat="1" applyFont="1" applyBorder="1" applyAlignment="1">
      <alignment horizontal="center"/>
    </xf>
    <xf numFmtId="4" fontId="16" fillId="2" borderId="1" xfId="0" applyNumberFormat="1" applyFont="1" applyFill="1" applyBorder="1" applyAlignment="1">
      <alignment horizontal="center" wrapText="1"/>
    </xf>
    <xf numFmtId="3" fontId="16" fillId="2" borderId="1" xfId="0" applyNumberFormat="1" applyFont="1" applyFill="1" applyBorder="1" applyAlignment="1">
      <alignment horizontal="center" wrapText="1"/>
    </xf>
    <xf numFmtId="0" fontId="14" fillId="3" borderId="0" xfId="0" applyFont="1" applyFill="1" applyAlignment="1">
      <alignment/>
    </xf>
    <xf numFmtId="4" fontId="16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 wrapText="1"/>
    </xf>
    <xf numFmtId="0" fontId="1" fillId="4" borderId="0" xfId="0" applyFont="1" applyFill="1" applyAlignment="1">
      <alignment/>
    </xf>
    <xf numFmtId="4" fontId="1" fillId="4" borderId="0" xfId="0" applyNumberFormat="1" applyFont="1" applyFill="1" applyBorder="1" applyAlignment="1">
      <alignment horizontal="right" wrapText="1"/>
    </xf>
    <xf numFmtId="0" fontId="1" fillId="4" borderId="8" xfId="0" applyFont="1" applyFill="1" applyBorder="1" applyAlignment="1">
      <alignment/>
    </xf>
    <xf numFmtId="0" fontId="1" fillId="4" borderId="8" xfId="0" applyFont="1" applyFill="1" applyBorder="1" applyAlignment="1">
      <alignment horizontal="right"/>
    </xf>
    <xf numFmtId="4" fontId="1" fillId="4" borderId="8" xfId="0" applyNumberFormat="1" applyFont="1" applyFill="1" applyBorder="1" applyAlignment="1">
      <alignment horizontal="right" wrapText="1"/>
    </xf>
    <xf numFmtId="0" fontId="1" fillId="4" borderId="0" xfId="0" applyFont="1" applyFill="1" applyAlignment="1">
      <alignment horizontal="right"/>
    </xf>
    <xf numFmtId="4" fontId="1" fillId="4" borderId="0" xfId="0" applyNumberFormat="1" applyFont="1" applyFill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70" fontId="0" fillId="0" borderId="1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/>
    </xf>
    <xf numFmtId="4" fontId="0" fillId="0" borderId="4" xfId="0" applyNumberFormat="1" applyFill="1" applyBorder="1" applyAlignment="1">
      <alignment/>
    </xf>
    <xf numFmtId="4" fontId="0" fillId="0" borderId="5" xfId="0" applyNumberFormat="1" applyFill="1" applyBorder="1" applyAlignment="1">
      <alignment/>
    </xf>
    <xf numFmtId="165" fontId="0" fillId="0" borderId="3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3" fontId="0" fillId="0" borderId="16" xfId="22" applyNumberFormat="1" applyFill="1" applyBorder="1" applyAlignment="1">
      <alignment horizontal="right"/>
    </xf>
    <xf numFmtId="3" fontId="0" fillId="0" borderId="17" xfId="22" applyNumberForma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4" fontId="1" fillId="0" borderId="16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right"/>
    </xf>
    <xf numFmtId="0" fontId="27" fillId="0" borderId="1" xfId="0" applyFont="1" applyBorder="1" applyAlignment="1">
      <alignment horizontal="right"/>
    </xf>
    <xf numFmtId="0" fontId="0" fillId="0" borderId="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" fillId="0" borderId="25" xfId="0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0" fillId="0" borderId="3" xfId="22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6" fontId="0" fillId="0" borderId="3" xfId="0" applyNumberFormat="1" applyFill="1" applyBorder="1" applyAlignment="1">
      <alignment/>
    </xf>
    <xf numFmtId="169" fontId="0" fillId="0" borderId="3" xfId="22" applyNumberFormat="1" applyFill="1" applyBorder="1" applyAlignment="1">
      <alignment/>
    </xf>
    <xf numFmtId="3" fontId="0" fillId="0" borderId="4" xfId="22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6" fontId="0" fillId="0" borderId="4" xfId="0" applyNumberFormat="1" applyFill="1" applyBorder="1" applyAlignment="1">
      <alignment/>
    </xf>
    <xf numFmtId="169" fontId="0" fillId="0" borderId="4" xfId="22" applyNumberFormat="1" applyFill="1" applyBorder="1" applyAlignment="1">
      <alignment/>
    </xf>
    <xf numFmtId="3" fontId="0" fillId="0" borderId="5" xfId="22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166" fontId="0" fillId="0" borderId="5" xfId="0" applyNumberFormat="1" applyFill="1" applyBorder="1" applyAlignment="1">
      <alignment/>
    </xf>
    <xf numFmtId="169" fontId="0" fillId="0" borderId="5" xfId="22" applyNumberFormat="1" applyFill="1" applyBorder="1" applyAlignment="1">
      <alignment/>
    </xf>
    <xf numFmtId="3" fontId="5" fillId="0" borderId="3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0" fontId="28" fillId="5" borderId="26" xfId="0" applyFont="1" applyFill="1" applyBorder="1" applyAlignment="1">
      <alignment/>
    </xf>
    <xf numFmtId="0" fontId="29" fillId="6" borderId="27" xfId="0" applyFont="1" applyFill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65" fontId="16" fillId="2" borderId="1" xfId="0" applyNumberFormat="1" applyFont="1" applyFill="1" applyBorder="1" applyAlignment="1">
      <alignment horizontal="center" wrapText="1"/>
    </xf>
    <xf numFmtId="0" fontId="32" fillId="0" borderId="0" xfId="0" applyFont="1" applyAlignment="1">
      <alignment/>
    </xf>
    <xf numFmtId="0" fontId="33" fillId="3" borderId="0" xfId="0" applyFont="1" applyFill="1" applyAlignment="1">
      <alignment/>
    </xf>
    <xf numFmtId="0" fontId="34" fillId="3" borderId="0" xfId="0" applyFont="1" applyFill="1" applyAlignment="1">
      <alignment/>
    </xf>
    <xf numFmtId="0" fontId="36" fillId="5" borderId="18" xfId="0" applyFont="1" applyFill="1" applyBorder="1" applyAlignment="1">
      <alignment/>
    </xf>
    <xf numFmtId="0" fontId="36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7" borderId="28" xfId="0" applyFont="1" applyFill="1" applyBorder="1" applyAlignment="1" applyProtection="1">
      <alignment horizontal="center" vertical="center"/>
      <protection hidden="1"/>
    </xf>
    <xf numFmtId="0" fontId="39" fillId="7" borderId="29" xfId="0" applyFont="1" applyFill="1" applyBorder="1" applyAlignment="1" applyProtection="1">
      <alignment horizontal="center" vertical="center"/>
      <protection hidden="1"/>
    </xf>
    <xf numFmtId="0" fontId="40" fillId="0" borderId="0" xfId="20" applyFont="1" applyAlignment="1">
      <alignment/>
    </xf>
    <xf numFmtId="0" fontId="41" fillId="0" borderId="30" xfId="0" applyFont="1" applyFill="1" applyBorder="1" applyAlignment="1">
      <alignment horizontal="center"/>
    </xf>
    <xf numFmtId="0" fontId="42" fillId="0" borderId="3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46" fillId="0" borderId="31" xfId="0" applyFont="1" applyFill="1" applyBorder="1" applyAlignment="1">
      <alignment horizontal="center"/>
    </xf>
    <xf numFmtId="0" fontId="47" fillId="8" borderId="31" xfId="0" applyFont="1" applyFill="1" applyBorder="1" applyAlignment="1">
      <alignment horizontal="center"/>
    </xf>
    <xf numFmtId="0" fontId="49" fillId="0" borderId="31" xfId="0" applyFont="1" applyFill="1" applyBorder="1" applyAlignment="1">
      <alignment horizontal="center"/>
    </xf>
    <xf numFmtId="0" fontId="35" fillId="0" borderId="31" xfId="0" applyFont="1" applyFill="1" applyBorder="1" applyAlignment="1">
      <alignment horizontal="center"/>
    </xf>
    <xf numFmtId="0" fontId="51" fillId="9" borderId="31" xfId="0" applyFont="1" applyFill="1" applyBorder="1" applyAlignment="1">
      <alignment horizontal="center"/>
    </xf>
    <xf numFmtId="0" fontId="1" fillId="9" borderId="31" xfId="0" applyFont="1" applyFill="1" applyBorder="1" applyAlignment="1">
      <alignment horizontal="center"/>
    </xf>
    <xf numFmtId="0" fontId="5" fillId="9" borderId="31" xfId="0" applyFont="1" applyFill="1" applyBorder="1" applyAlignment="1">
      <alignment horizontal="center"/>
    </xf>
    <xf numFmtId="0" fontId="52" fillId="9" borderId="31" xfId="0" applyFont="1" applyFill="1" applyBorder="1" applyAlignment="1">
      <alignment horizontal="center"/>
    </xf>
    <xf numFmtId="0" fontId="13" fillId="9" borderId="31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10" borderId="33" xfId="0" applyFont="1" applyFill="1" applyBorder="1" applyAlignment="1">
      <alignment horizontal="center"/>
    </xf>
    <xf numFmtId="0" fontId="54" fillId="10" borderId="33" xfId="0" applyFont="1" applyFill="1" applyBorder="1" applyAlignment="1">
      <alignment horizontal="left"/>
    </xf>
    <xf numFmtId="0" fontId="1" fillId="10" borderId="33" xfId="0" applyFont="1" applyFill="1" applyBorder="1" applyAlignment="1">
      <alignment/>
    </xf>
    <xf numFmtId="0" fontId="1" fillId="0" borderId="0" xfId="0" applyNumberFormat="1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5" fillId="5" borderId="34" xfId="0" applyFont="1" applyFill="1" applyBorder="1" applyAlignment="1">
      <alignment horizontal="center" vertical="center" wrapText="1"/>
    </xf>
    <xf numFmtId="0" fontId="56" fillId="9" borderId="35" xfId="0" applyFont="1" applyFill="1" applyBorder="1" applyAlignment="1">
      <alignment horizontal="left" vertical="center"/>
    </xf>
    <xf numFmtId="0" fontId="1" fillId="9" borderId="35" xfId="0" applyFont="1" applyFill="1" applyBorder="1" applyAlignment="1">
      <alignment horizontal="center" vertical="center"/>
    </xf>
    <xf numFmtId="0" fontId="51" fillId="2" borderId="36" xfId="0" applyFont="1" applyFill="1" applyBorder="1" applyAlignment="1">
      <alignment horizontal="center" vertical="center"/>
    </xf>
    <xf numFmtId="0" fontId="32" fillId="2" borderId="37" xfId="0" applyFont="1" applyFill="1" applyBorder="1" applyAlignment="1">
      <alignment vertical="center"/>
    </xf>
    <xf numFmtId="0" fontId="57" fillId="11" borderId="37" xfId="20" applyNumberFormat="1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12" borderId="36" xfId="0" applyFont="1" applyFill="1" applyBorder="1" applyAlignment="1">
      <alignment horizontal="center" vertical="center"/>
    </xf>
    <xf numFmtId="0" fontId="58" fillId="12" borderId="37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 horizontal="center"/>
    </xf>
    <xf numFmtId="0" fontId="18" fillId="0" borderId="39" xfId="0" applyFont="1" applyBorder="1" applyAlignment="1">
      <alignment/>
    </xf>
    <xf numFmtId="4" fontId="18" fillId="0" borderId="39" xfId="0" applyNumberFormat="1" applyFont="1" applyBorder="1" applyAlignment="1">
      <alignment/>
    </xf>
    <xf numFmtId="4" fontId="18" fillId="0" borderId="39" xfId="0" applyNumberFormat="1" applyFont="1" applyBorder="1" applyAlignment="1">
      <alignment horizontal="right"/>
    </xf>
    <xf numFmtId="4" fontId="52" fillId="0" borderId="39" xfId="0" applyNumberFormat="1" applyFont="1" applyBorder="1" applyAlignment="1">
      <alignment horizontal="right"/>
    </xf>
    <xf numFmtId="0" fontId="18" fillId="0" borderId="40" xfId="0" applyFont="1" applyBorder="1" applyAlignment="1">
      <alignment/>
    </xf>
    <xf numFmtId="0" fontId="61" fillId="10" borderId="41" xfId="0" applyFont="1" applyFill="1" applyBorder="1" applyAlignment="1">
      <alignment/>
    </xf>
    <xf numFmtId="0" fontId="60" fillId="13" borderId="41" xfId="21" applyFont="1" applyFill="1" applyBorder="1" applyAlignment="1">
      <alignment vertical="center"/>
    </xf>
    <xf numFmtId="0" fontId="60" fillId="13" borderId="42" xfId="0" applyFont="1" applyFill="1" applyBorder="1" applyAlignment="1">
      <alignment vertical="center"/>
    </xf>
    <xf numFmtId="0" fontId="60" fillId="13" borderId="43" xfId="21" applyFont="1" applyFill="1" applyBorder="1" applyAlignment="1">
      <alignment vertical="center"/>
    </xf>
    <xf numFmtId="0" fontId="60" fillId="13" borderId="44" xfId="0" applyFont="1" applyFill="1" applyBorder="1" applyAlignment="1">
      <alignment vertical="center"/>
    </xf>
    <xf numFmtId="0" fontId="60" fillId="13" borderId="45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62" fillId="13" borderId="41" xfId="21" applyFont="1" applyFill="1" applyBorder="1" applyAlignment="1">
      <alignment vertical="center"/>
    </xf>
    <xf numFmtId="0" fontId="63" fillId="3" borderId="0" xfId="0" applyFont="1" applyFill="1" applyAlignment="1">
      <alignment/>
    </xf>
    <xf numFmtId="0" fontId="64" fillId="3" borderId="46" xfId="0" applyFont="1" applyFill="1" applyBorder="1" applyAlignment="1">
      <alignment/>
    </xf>
    <xf numFmtId="0" fontId="64" fillId="3" borderId="47" xfId="0" applyFont="1" applyFill="1" applyBorder="1" applyAlignment="1">
      <alignment/>
    </xf>
    <xf numFmtId="0" fontId="63" fillId="3" borderId="48" xfId="0" applyFont="1" applyFill="1" applyBorder="1" applyAlignment="1">
      <alignment/>
    </xf>
    <xf numFmtId="0" fontId="64" fillId="3" borderId="49" xfId="0" applyFont="1" applyFill="1" applyBorder="1" applyAlignment="1">
      <alignment/>
    </xf>
    <xf numFmtId="0" fontId="64" fillId="3" borderId="50" xfId="0" applyFont="1" applyFill="1" applyBorder="1" applyAlignment="1">
      <alignment/>
    </xf>
    <xf numFmtId="0" fontId="63" fillId="3" borderId="51" xfId="0" applyFont="1" applyFill="1" applyBorder="1" applyAlignment="1">
      <alignment/>
    </xf>
    <xf numFmtId="0" fontId="65" fillId="3" borderId="0" xfId="0" applyFont="1" applyFill="1" applyAlignment="1">
      <alignment/>
    </xf>
    <xf numFmtId="0" fontId="45" fillId="0" borderId="0" xfId="0" applyFont="1" applyAlignment="1">
      <alignment/>
    </xf>
    <xf numFmtId="0" fontId="66" fillId="0" borderId="0" xfId="0" applyFont="1" applyAlignment="1">
      <alignment/>
    </xf>
    <xf numFmtId="0" fontId="45" fillId="0" borderId="0" xfId="0" applyFont="1" applyAlignment="1">
      <alignment horizontal="right"/>
    </xf>
    <xf numFmtId="0" fontId="49" fillId="0" borderId="0" xfId="0" applyFont="1" applyAlignment="1">
      <alignment/>
    </xf>
    <xf numFmtId="0" fontId="7" fillId="0" borderId="0" xfId="0" applyFont="1" applyAlignment="1">
      <alignment horizontal="right"/>
    </xf>
    <xf numFmtId="0" fontId="67" fillId="0" borderId="0" xfId="0" applyFont="1" applyAlignment="1">
      <alignment horizontal="right"/>
    </xf>
    <xf numFmtId="0" fontId="67" fillId="0" borderId="0" xfId="0" applyFont="1" applyAlignment="1">
      <alignment/>
    </xf>
    <xf numFmtId="10" fontId="0" fillId="0" borderId="1" xfId="22" applyNumberFormat="1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22" applyNumberFormat="1" applyBorder="1" applyAlignment="1">
      <alignment/>
    </xf>
    <xf numFmtId="4" fontId="0" fillId="0" borderId="1" xfId="0" applyNumberFormat="1" applyBorder="1" applyAlignment="1">
      <alignment/>
    </xf>
    <xf numFmtId="0" fontId="27" fillId="0" borderId="0" xfId="0" applyFont="1" applyBorder="1" applyAlignment="1">
      <alignment horizontal="right"/>
    </xf>
    <xf numFmtId="9" fontId="0" fillId="2" borderId="1" xfId="22" applyFill="1" applyBorder="1" applyAlignment="1">
      <alignment horizontal="center"/>
    </xf>
    <xf numFmtId="0" fontId="59" fillId="0" borderId="0" xfId="0" applyFont="1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Fill="1" applyBorder="1" applyAlignment="1">
      <alignment/>
    </xf>
    <xf numFmtId="3" fontId="0" fillId="0" borderId="54" xfId="0" applyNumberFormat="1" applyFill="1" applyBorder="1" applyAlignment="1">
      <alignment/>
    </xf>
    <xf numFmtId="3" fontId="0" fillId="0" borderId="55" xfId="0" applyNumberFormat="1" applyFill="1" applyBorder="1" applyAlignment="1">
      <alignment/>
    </xf>
    <xf numFmtId="3" fontId="0" fillId="0" borderId="56" xfId="0" applyNumberFormat="1" applyFill="1" applyBorder="1" applyAlignment="1">
      <alignment/>
    </xf>
    <xf numFmtId="3" fontId="0" fillId="0" borderId="57" xfId="0" applyNumberFormat="1" applyFill="1" applyBorder="1" applyAlignment="1">
      <alignment/>
    </xf>
    <xf numFmtId="0" fontId="0" fillId="4" borderId="54" xfId="0" applyFill="1" applyBorder="1" applyAlignment="1">
      <alignment horizontal="center"/>
    </xf>
    <xf numFmtId="0" fontId="0" fillId="12" borderId="55" xfId="0" applyFill="1" applyBorder="1" applyAlignment="1">
      <alignment horizontal="center"/>
    </xf>
    <xf numFmtId="0" fontId="0" fillId="14" borderId="55" xfId="0" applyFill="1" applyBorder="1" applyAlignment="1">
      <alignment horizontal="center"/>
    </xf>
    <xf numFmtId="0" fontId="0" fillId="15" borderId="55" xfId="0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0" fillId="6" borderId="52" xfId="0" applyFill="1" applyBorder="1" applyAlignment="1">
      <alignment horizontal="center"/>
    </xf>
    <xf numFmtId="0" fontId="1" fillId="0" borderId="58" xfId="0" applyFont="1" applyBorder="1" applyAlignment="1">
      <alignment/>
    </xf>
    <xf numFmtId="9" fontId="1" fillId="0" borderId="58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9" fontId="0" fillId="0" borderId="54" xfId="22" applyFill="1" applyBorder="1" applyAlignment="1">
      <alignment/>
    </xf>
    <xf numFmtId="9" fontId="0" fillId="0" borderId="55" xfId="22" applyFill="1" applyBorder="1" applyAlignment="1">
      <alignment/>
    </xf>
    <xf numFmtId="9" fontId="0" fillId="0" borderId="56" xfId="22" applyFill="1" applyBorder="1" applyAlignment="1">
      <alignment/>
    </xf>
    <xf numFmtId="9" fontId="0" fillId="0" borderId="57" xfId="22" applyFill="1" applyBorder="1" applyAlignment="1">
      <alignment/>
    </xf>
    <xf numFmtId="0" fontId="1" fillId="0" borderId="57" xfId="0" applyFont="1" applyBorder="1" applyAlignment="1">
      <alignment horizontal="center" wrapText="1"/>
    </xf>
    <xf numFmtId="0" fontId="1" fillId="0" borderId="57" xfId="0" applyFont="1" applyBorder="1" applyAlignment="1">
      <alignment horizontal="right" wrapText="1"/>
    </xf>
    <xf numFmtId="0" fontId="73" fillId="0" borderId="54" xfId="0" applyFont="1" applyFill="1" applyBorder="1" applyAlignment="1">
      <alignment/>
    </xf>
    <xf numFmtId="0" fontId="73" fillId="0" borderId="55" xfId="0" applyFont="1" applyFill="1" applyBorder="1" applyAlignment="1">
      <alignment/>
    </xf>
    <xf numFmtId="0" fontId="73" fillId="0" borderId="56" xfId="0" applyFont="1" applyFill="1" applyBorder="1" applyAlignment="1">
      <alignment/>
    </xf>
    <xf numFmtId="0" fontId="0" fillId="16" borderId="54" xfId="0" applyFill="1" applyBorder="1" applyAlignment="1">
      <alignment horizontal="center"/>
    </xf>
    <xf numFmtId="0" fontId="0" fillId="17" borderId="55" xfId="0" applyFill="1" applyBorder="1" applyAlignment="1">
      <alignment horizontal="center"/>
    </xf>
    <xf numFmtId="0" fontId="0" fillId="18" borderId="55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19" borderId="55" xfId="0" applyFill="1" applyBorder="1" applyAlignment="1">
      <alignment horizontal="center"/>
    </xf>
    <xf numFmtId="0" fontId="1" fillId="0" borderId="59" xfId="0" applyFont="1" applyBorder="1" applyAlignment="1">
      <alignment/>
    </xf>
    <xf numFmtId="0" fontId="59" fillId="0" borderId="0" xfId="0" applyFont="1" applyAlignment="1">
      <alignment horizontal="center"/>
    </xf>
    <xf numFmtId="0" fontId="74" fillId="13" borderId="31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76" fillId="20" borderId="60" xfId="19" applyFont="1" applyFill="1" applyBorder="1" applyAlignment="1">
      <alignment/>
    </xf>
    <xf numFmtId="0" fontId="76" fillId="20" borderId="60" xfId="19" applyFont="1" applyFill="1" applyBorder="1" applyAlignment="1">
      <alignment horizontal="center"/>
    </xf>
    <xf numFmtId="0" fontId="77" fillId="20" borderId="60" xfId="19" applyFont="1" applyFill="1" applyBorder="1" applyAlignment="1">
      <alignment horizontal="center"/>
    </xf>
    <xf numFmtId="4" fontId="15" fillId="20" borderId="1" xfId="0" applyNumberFormat="1" applyFont="1" applyFill="1" applyBorder="1" applyAlignment="1">
      <alignment horizontal="center" wrapText="1"/>
    </xf>
    <xf numFmtId="4" fontId="16" fillId="20" borderId="1" xfId="0" applyNumberFormat="1" applyFont="1" applyFill="1" applyBorder="1" applyAlignment="1">
      <alignment horizontal="center" wrapText="1"/>
    </xf>
    <xf numFmtId="0" fontId="52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0" fontId="77" fillId="20" borderId="0" xfId="0" applyFont="1" applyFill="1" applyAlignment="1">
      <alignment/>
    </xf>
    <xf numFmtId="0" fontId="77" fillId="20" borderId="0" xfId="0" applyFont="1" applyFill="1" applyAlignment="1">
      <alignment horizontal="right"/>
    </xf>
    <xf numFmtId="4" fontId="77" fillId="20" borderId="0" xfId="0" applyNumberFormat="1" applyFont="1" applyFill="1" applyBorder="1" applyAlignment="1">
      <alignment horizontal="right" wrapText="1"/>
    </xf>
    <xf numFmtId="4" fontId="77" fillId="20" borderId="0" xfId="0" applyNumberFormat="1" applyFont="1" applyFill="1" applyAlignment="1">
      <alignment/>
    </xf>
    <xf numFmtId="4" fontId="1" fillId="20" borderId="1" xfId="0" applyNumberFormat="1" applyFont="1" applyFill="1" applyBorder="1" applyAlignment="1">
      <alignment horizontal="center" wrapText="1"/>
    </xf>
    <xf numFmtId="3" fontId="16" fillId="20" borderId="1" xfId="0" applyNumberFormat="1" applyFont="1" applyFill="1" applyBorder="1" applyAlignment="1">
      <alignment horizontal="center" wrapText="1"/>
    </xf>
    <xf numFmtId="3" fontId="1" fillId="20" borderId="1" xfId="0" applyNumberFormat="1" applyFont="1" applyFill="1" applyBorder="1" applyAlignment="1">
      <alignment/>
    </xf>
    <xf numFmtId="0" fontId="77" fillId="20" borderId="61" xfId="0" applyFont="1" applyFill="1" applyBorder="1" applyAlignment="1">
      <alignment/>
    </xf>
    <xf numFmtId="0" fontId="77" fillId="20" borderId="61" xfId="0" applyFont="1" applyFill="1" applyBorder="1" applyAlignment="1">
      <alignment horizontal="right"/>
    </xf>
    <xf numFmtId="4" fontId="77" fillId="20" borderId="61" xfId="0" applyNumberFormat="1" applyFont="1" applyFill="1" applyBorder="1" applyAlignment="1">
      <alignment horizontal="right" wrapText="1"/>
    </xf>
    <xf numFmtId="0" fontId="76" fillId="20" borderId="0" xfId="0" applyFont="1" applyFill="1" applyAlignment="1">
      <alignment/>
    </xf>
    <xf numFmtId="0" fontId="79" fillId="20" borderId="0" xfId="0" applyFont="1" applyFill="1" applyAlignment="1">
      <alignment/>
    </xf>
    <xf numFmtId="0" fontId="76" fillId="21" borderId="0" xfId="0" applyFont="1" applyFill="1" applyAlignment="1">
      <alignment/>
    </xf>
    <xf numFmtId="0" fontId="79" fillId="21" borderId="0" xfId="0" applyFont="1" applyFill="1" applyAlignment="1">
      <alignment/>
    </xf>
    <xf numFmtId="0" fontId="5" fillId="14" borderId="0" xfId="0" applyFont="1" applyFill="1" applyAlignment="1">
      <alignment/>
    </xf>
    <xf numFmtId="0" fontId="80" fillId="14" borderId="0" xfId="0" applyFont="1" applyFill="1" applyAlignment="1">
      <alignment/>
    </xf>
    <xf numFmtId="0" fontId="23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6" fillId="0" borderId="0" xfId="19" applyFont="1" applyFill="1" applyBorder="1" applyAlignment="1">
      <alignment/>
    </xf>
    <xf numFmtId="0" fontId="2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81" fillId="0" borderId="0" xfId="0" applyFont="1" applyAlignment="1">
      <alignment/>
    </xf>
    <xf numFmtId="0" fontId="81" fillId="0" borderId="0" xfId="0" applyFont="1" applyAlignment="1">
      <alignment wrapText="1"/>
    </xf>
    <xf numFmtId="0" fontId="5" fillId="2" borderId="0" xfId="0" applyFont="1" applyFill="1" applyAlignment="1">
      <alignment/>
    </xf>
    <xf numFmtId="0" fontId="80" fillId="2" borderId="0" xfId="0" applyFont="1" applyFill="1" applyAlignment="1">
      <alignment/>
    </xf>
    <xf numFmtId="0" fontId="43" fillId="0" borderId="31" xfId="0" applyFont="1" applyFill="1" applyBorder="1" applyAlignment="1">
      <alignment horizontal="center"/>
    </xf>
    <xf numFmtId="0" fontId="81" fillId="0" borderId="31" xfId="0" applyFont="1" applyFill="1" applyBorder="1" applyAlignment="1">
      <alignment horizontal="center"/>
    </xf>
    <xf numFmtId="0" fontId="48" fillId="0" borderId="31" xfId="0" applyFont="1" applyFill="1" applyBorder="1" applyAlignment="1">
      <alignment horizontal="center"/>
    </xf>
    <xf numFmtId="0" fontId="48" fillId="5" borderId="31" xfId="0" applyFont="1" applyFill="1" applyBorder="1" applyAlignment="1">
      <alignment horizontal="center"/>
    </xf>
    <xf numFmtId="0" fontId="82" fillId="10" borderId="42" xfId="0" applyNumberFormat="1" applyFont="1" applyFill="1" applyBorder="1" applyAlignment="1">
      <alignment horizontal="right"/>
    </xf>
    <xf numFmtId="0" fontId="44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29" fillId="0" borderId="32" xfId="19" applyFont="1" applyBorder="1" applyAlignment="1" applyProtection="1">
      <alignment horizontal="center"/>
      <protection/>
    </xf>
    <xf numFmtId="177" fontId="0" fillId="0" borderId="0" xfId="0" applyNumberFormat="1" applyAlignment="1">
      <alignment/>
    </xf>
  </cellXfs>
  <cellStyles count="11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Hyperlink_HotelBenchmarker" xfId="20"/>
    <cellStyle name="Hyperlink_HotelKeyAccounter" xfId="21"/>
    <cellStyle name="Percent" xfId="22"/>
    <cellStyle name="Currency" xfId="23"/>
    <cellStyle name="Currency [0]" xfId="24"/>
  </cellStyles>
  <dxfs count="7">
    <dxf>
      <font>
        <b/>
        <i val="0"/>
        <color rgb="FF00FF00"/>
      </font>
      <border/>
    </dxf>
    <dxf>
      <font>
        <b/>
        <i val="0"/>
        <color rgb="FFFF0000"/>
      </font>
      <border/>
    </dxf>
    <dxf>
      <fill>
        <patternFill>
          <bgColor rgb="FF00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FFCC9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/>
        <i val="0"/>
        <color rgb="FF0000FF"/>
      </font>
      <fill>
        <patternFill>
          <bgColor rgb="FFFFFF99"/>
        </patternFill>
      </fill>
      <border>
        <left style="thin">
          <color rgb="FF0000FF"/>
        </left>
        <right style="thin">
          <color rgb="FF0000FF"/>
        </right>
        <top style="thin"/>
        <bottom style="thin">
          <color rgb="FF0000FF"/>
        </bottom>
      </border>
    </dxf>
    <dxf>
      <font>
        <b/>
        <i val="0"/>
        <color rgb="FF800000"/>
      </font>
      <fill>
        <patternFill>
          <bgColor rgb="FFC0C0C0"/>
        </patternFill>
      </fill>
      <border>
        <left style="thin">
          <color rgb="FF8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BMg!$A$6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BMg!$B$5:$C$5</c:f>
              <c:strCache/>
            </c:strRef>
          </c:cat>
          <c:val>
            <c:numRef>
              <c:f>BMg!$C$6:$C$6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BMg!$A$7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BMg!$B$5:$C$5</c:f>
              <c:strCache/>
            </c:strRef>
          </c:cat>
          <c:val>
            <c:numRef>
              <c:f>BMg!$C$7:$C$7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BMg!$A$8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BMg!$B$5:$C$5</c:f>
              <c:strCache/>
            </c:strRef>
          </c:cat>
          <c:val>
            <c:numRef>
              <c:f>BMg!$C$8:$C$8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BMg!$A$9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BMg!$B$5:$C$5</c:f>
              <c:strCache/>
            </c:strRef>
          </c:cat>
          <c:val>
            <c:numRef>
              <c:f>BMg!$C$9:$C$9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BMg!$A$10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BMg!$B$5:$C$5</c:f>
              <c:strCache/>
            </c:strRef>
          </c:cat>
          <c:val>
            <c:numRef>
              <c:f>BMg!$C$10:$C$10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BMg!$A$11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BMg!$B$5:$C$5</c:f>
              <c:strCache/>
            </c:strRef>
          </c:cat>
          <c:val>
            <c:numRef>
              <c:f>BMg!$C$11:$C$11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gapWidth val="0"/>
        <c:gapDepth val="0"/>
        <c:shape val="cylinder"/>
        <c:axId val="19786741"/>
        <c:axId val="43862942"/>
      </c:bar3DChart>
      <c:catAx>
        <c:axId val="19786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3862942"/>
        <c:crosses val="autoZero"/>
        <c:auto val="1"/>
        <c:lblOffset val="100"/>
        <c:noMultiLvlLbl val="0"/>
      </c:catAx>
      <c:valAx>
        <c:axId val="4386294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786741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10"/>
      <c:depthPercent val="4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BMg!$A$15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BMg!$B$14:$C$14</c:f>
              <c:strCache/>
            </c:strRef>
          </c:cat>
          <c:val>
            <c:numRef>
              <c:f>BMg!$C$15:$C$15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BMg!$A$16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BMg!$B$14:$C$14</c:f>
              <c:strCache/>
            </c:strRef>
          </c:cat>
          <c:val>
            <c:numRef>
              <c:f>BMg!$C$16:$C$16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BMg!$A$17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BMg!$B$14:$C$14</c:f>
              <c:strCache/>
            </c:strRef>
          </c:cat>
          <c:val>
            <c:numRef>
              <c:f>BMg!$C$17:$C$17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BMg!$A$18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BMg!$B$14:$C$14</c:f>
              <c:strCache/>
            </c:strRef>
          </c:cat>
          <c:val>
            <c:numRef>
              <c:f>BMg!$C$18:$C$18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BMg!$A$19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BMg!$B$14:$C$14</c:f>
              <c:strCache/>
            </c:strRef>
          </c:cat>
          <c:val>
            <c:numRef>
              <c:f>BMg!$C$19:$C$19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BMg!$A$20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BMg!$B$14:$C$14</c:f>
              <c:strCache/>
            </c:strRef>
          </c:cat>
          <c:val>
            <c:numRef>
              <c:f>BMg!$C$20:$C$20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gapWidth val="0"/>
        <c:gapDepth val="0"/>
        <c:shape val="cylinder"/>
        <c:axId val="59222159"/>
        <c:axId val="63237384"/>
      </c:bar3DChart>
      <c:catAx>
        <c:axId val="59222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63237384"/>
        <c:crosses val="autoZero"/>
        <c:auto val="1"/>
        <c:lblOffset val="100"/>
        <c:noMultiLvlLbl val="0"/>
      </c:catAx>
      <c:valAx>
        <c:axId val="6323738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222159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5</xdr:row>
      <xdr:rowOff>47625</xdr:rowOff>
    </xdr:from>
    <xdr:to>
      <xdr:col>6</xdr:col>
      <xdr:colOff>180975</xdr:colOff>
      <xdr:row>12</xdr:row>
      <xdr:rowOff>123825</xdr:rowOff>
    </xdr:to>
    <xdr:sp>
      <xdr:nvSpPr>
        <xdr:cNvPr id="1" name="AutoShape 6"/>
        <xdr:cNvSpPr>
          <a:spLocks/>
        </xdr:cNvSpPr>
      </xdr:nvSpPr>
      <xdr:spPr>
        <a:xfrm>
          <a:off x="1933575" y="942975"/>
          <a:ext cx="2781300" cy="1228725"/>
        </a:xfrm>
        <a:prstGeom prst="foldedCorner">
          <a:avLst/>
        </a:prstGeom>
        <a:solidFill>
          <a:srgbClr val="FF6600">
            <a:alpha val="3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14</xdr:row>
      <xdr:rowOff>19050</xdr:rowOff>
    </xdr:from>
    <xdr:to>
      <xdr:col>7</xdr:col>
      <xdr:colOff>209550</xdr:colOff>
      <xdr:row>19</xdr:row>
      <xdr:rowOff>133350</xdr:rowOff>
    </xdr:to>
    <xdr:sp>
      <xdr:nvSpPr>
        <xdr:cNvPr id="2" name="AutoShape 8"/>
        <xdr:cNvSpPr>
          <a:spLocks/>
        </xdr:cNvSpPr>
      </xdr:nvSpPr>
      <xdr:spPr>
        <a:xfrm>
          <a:off x="3143250" y="2390775"/>
          <a:ext cx="2647950" cy="1095375"/>
        </a:xfrm>
        <a:prstGeom prst="foldedCorner">
          <a:avLst/>
        </a:prstGeom>
        <a:solidFill>
          <a:srgbClr val="FF6600">
            <a:alpha val="3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14</xdr:row>
      <xdr:rowOff>19050</xdr:rowOff>
    </xdr:from>
    <xdr:to>
      <xdr:col>4</xdr:col>
      <xdr:colOff>419100</xdr:colOff>
      <xdr:row>19</xdr:row>
      <xdr:rowOff>85725</xdr:rowOff>
    </xdr:to>
    <xdr:sp>
      <xdr:nvSpPr>
        <xdr:cNvPr id="3" name="AutoShape 9"/>
        <xdr:cNvSpPr>
          <a:spLocks/>
        </xdr:cNvSpPr>
      </xdr:nvSpPr>
      <xdr:spPr>
        <a:xfrm>
          <a:off x="152400" y="2390775"/>
          <a:ext cx="2752725" cy="1047750"/>
        </a:xfrm>
        <a:prstGeom prst="foldedCorner">
          <a:avLst/>
        </a:prstGeom>
        <a:solidFill>
          <a:srgbClr val="FF6600">
            <a:alpha val="3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85725</xdr:rowOff>
    </xdr:from>
    <xdr:to>
      <xdr:col>8</xdr:col>
      <xdr:colOff>590550</xdr:colOff>
      <xdr:row>2</xdr:row>
      <xdr:rowOff>123825</xdr:rowOff>
    </xdr:to>
    <xdr:sp>
      <xdr:nvSpPr>
        <xdr:cNvPr id="4" name="AutoShape 10"/>
        <xdr:cNvSpPr>
          <a:spLocks/>
        </xdr:cNvSpPr>
      </xdr:nvSpPr>
      <xdr:spPr>
        <a:xfrm>
          <a:off x="47625" y="85725"/>
          <a:ext cx="7162800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CC00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Hotel Direct Costing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24</xdr:row>
      <xdr:rowOff>47625</xdr:rowOff>
    </xdr:from>
    <xdr:to>
      <xdr:col>7</xdr:col>
      <xdr:colOff>257175</xdr:colOff>
      <xdr:row>30</xdr:row>
      <xdr:rowOff>57150</xdr:rowOff>
    </xdr:to>
    <xdr:sp>
      <xdr:nvSpPr>
        <xdr:cNvPr id="1" name="AutoShape 2"/>
        <xdr:cNvSpPr>
          <a:spLocks/>
        </xdr:cNvSpPr>
      </xdr:nvSpPr>
      <xdr:spPr>
        <a:xfrm>
          <a:off x="828675" y="3800475"/>
          <a:ext cx="4248150" cy="1419225"/>
        </a:xfrm>
        <a:prstGeom prst="can">
          <a:avLst>
            <a:gd name="adj" fmla="val -18152"/>
          </a:avLst>
        </a:prstGeom>
        <a:solidFill>
          <a:srgbClr val="FF9900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12</xdr:row>
      <xdr:rowOff>314325</xdr:rowOff>
    </xdr:from>
    <xdr:to>
      <xdr:col>7</xdr:col>
      <xdr:colOff>95250</xdr:colOff>
      <xdr:row>25</xdr:row>
      <xdr:rowOff>142875</xdr:rowOff>
    </xdr:to>
    <xdr:sp>
      <xdr:nvSpPr>
        <xdr:cNvPr id="2" name="AutoShape 3"/>
        <xdr:cNvSpPr>
          <a:spLocks/>
        </xdr:cNvSpPr>
      </xdr:nvSpPr>
      <xdr:spPr>
        <a:xfrm rot="5590192">
          <a:off x="2943225" y="2247900"/>
          <a:ext cx="1971675" cy="1809750"/>
        </a:xfrm>
        <a:prstGeom prst="circularArrow">
          <a:avLst>
            <a:gd name="adj1" fmla="val -21866842"/>
            <a:gd name="adj2" fmla="val -682888"/>
            <a:gd name="adj3" fmla="val -5611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28</xdr:row>
      <xdr:rowOff>95250</xdr:rowOff>
    </xdr:from>
    <xdr:to>
      <xdr:col>8</xdr:col>
      <xdr:colOff>171450</xdr:colOff>
      <xdr:row>38</xdr:row>
      <xdr:rowOff>57150</xdr:rowOff>
    </xdr:to>
    <xdr:sp>
      <xdr:nvSpPr>
        <xdr:cNvPr id="3" name="AutoShape 4"/>
        <xdr:cNvSpPr>
          <a:spLocks/>
        </xdr:cNvSpPr>
      </xdr:nvSpPr>
      <xdr:spPr>
        <a:xfrm rot="17735635">
          <a:off x="3933825" y="4705350"/>
          <a:ext cx="2209800" cy="1905000"/>
        </a:xfrm>
        <a:prstGeom prst="circularArrow">
          <a:avLst>
            <a:gd name="adj1" fmla="val -18164361"/>
            <a:gd name="adj2" fmla="val 4618425"/>
            <a:gd name="adj3" fmla="val -4550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66675</xdr:rowOff>
    </xdr:from>
    <xdr:to>
      <xdr:col>8</xdr:col>
      <xdr:colOff>1571625</xdr:colOff>
      <xdr:row>2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85725" y="66675"/>
          <a:ext cx="7458075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CC00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Practising direct costing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8</xdr:col>
      <xdr:colOff>1571625</xdr:colOff>
      <xdr:row>2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85725" y="57150"/>
          <a:ext cx="7334250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CC00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Practising direct costing</a:t>
          </a:r>
        </a:p>
      </xdr:txBody>
    </xdr:sp>
    <xdr:clientData/>
  </xdr:twoCellAnchor>
  <xdr:twoCellAnchor>
    <xdr:from>
      <xdr:col>2</xdr:col>
      <xdr:colOff>19050</xdr:colOff>
      <xdr:row>24</xdr:row>
      <xdr:rowOff>123825</xdr:rowOff>
    </xdr:from>
    <xdr:to>
      <xdr:col>7</xdr:col>
      <xdr:colOff>180975</xdr:colOff>
      <xdr:row>30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514350" y="3714750"/>
          <a:ext cx="4362450" cy="1428750"/>
        </a:xfrm>
        <a:prstGeom prst="can">
          <a:avLst>
            <a:gd name="adj" fmla="val -18152"/>
          </a:avLst>
        </a:prstGeom>
        <a:solidFill>
          <a:srgbClr val="FF9900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12</xdr:row>
      <xdr:rowOff>161925</xdr:rowOff>
    </xdr:from>
    <xdr:to>
      <xdr:col>7</xdr:col>
      <xdr:colOff>95250</xdr:colOff>
      <xdr:row>25</xdr:row>
      <xdr:rowOff>142875</xdr:rowOff>
    </xdr:to>
    <xdr:sp>
      <xdr:nvSpPr>
        <xdr:cNvPr id="3" name="AutoShape 3"/>
        <xdr:cNvSpPr>
          <a:spLocks/>
        </xdr:cNvSpPr>
      </xdr:nvSpPr>
      <xdr:spPr>
        <a:xfrm rot="5590192">
          <a:off x="2905125" y="2038350"/>
          <a:ext cx="1885950" cy="1857375"/>
        </a:xfrm>
        <a:prstGeom prst="circularArrow">
          <a:avLst>
            <a:gd name="adj1" fmla="val -21866842"/>
            <a:gd name="adj2" fmla="val -682888"/>
            <a:gd name="adj3" fmla="val -5611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28</xdr:row>
      <xdr:rowOff>95250</xdr:rowOff>
    </xdr:from>
    <xdr:to>
      <xdr:col>8</xdr:col>
      <xdr:colOff>171450</xdr:colOff>
      <xdr:row>38</xdr:row>
      <xdr:rowOff>57150</xdr:rowOff>
    </xdr:to>
    <xdr:sp>
      <xdr:nvSpPr>
        <xdr:cNvPr id="4" name="AutoShape 4"/>
        <xdr:cNvSpPr>
          <a:spLocks/>
        </xdr:cNvSpPr>
      </xdr:nvSpPr>
      <xdr:spPr>
        <a:xfrm rot="17735635">
          <a:off x="3810000" y="4543425"/>
          <a:ext cx="2209800" cy="1905000"/>
        </a:xfrm>
        <a:prstGeom prst="circularArrow">
          <a:avLst>
            <a:gd name="adj1" fmla="val -18164361"/>
            <a:gd name="adj2" fmla="val 4618425"/>
            <a:gd name="adj3" fmla="val -4550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24</xdr:row>
      <xdr:rowOff>142875</xdr:rowOff>
    </xdr:from>
    <xdr:to>
      <xdr:col>7</xdr:col>
      <xdr:colOff>19050</xdr:colOff>
      <xdr:row>30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209550" y="4086225"/>
          <a:ext cx="4000500" cy="981075"/>
        </a:xfrm>
        <a:prstGeom prst="can">
          <a:avLst>
            <a:gd name="adj" fmla="val -24574"/>
          </a:avLst>
        </a:prstGeom>
        <a:solidFill>
          <a:srgbClr val="FF9900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9</xdr:row>
      <xdr:rowOff>9525</xdr:rowOff>
    </xdr:from>
    <xdr:to>
      <xdr:col>8</xdr:col>
      <xdr:colOff>142875</xdr:colOff>
      <xdr:row>25</xdr:row>
      <xdr:rowOff>152400</xdr:rowOff>
    </xdr:to>
    <xdr:sp>
      <xdr:nvSpPr>
        <xdr:cNvPr id="2" name="AutoShape 3"/>
        <xdr:cNvSpPr>
          <a:spLocks/>
        </xdr:cNvSpPr>
      </xdr:nvSpPr>
      <xdr:spPr>
        <a:xfrm rot="5590192">
          <a:off x="3019425" y="1724025"/>
          <a:ext cx="2009775" cy="2533650"/>
        </a:xfrm>
        <a:prstGeom prst="circularArrow">
          <a:avLst>
            <a:gd name="adj1" fmla="val -19570495"/>
            <a:gd name="adj2" fmla="val -682888"/>
            <a:gd name="adj3" fmla="val -5611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27</xdr:row>
      <xdr:rowOff>104775</xdr:rowOff>
    </xdr:from>
    <xdr:to>
      <xdr:col>9</xdr:col>
      <xdr:colOff>381000</xdr:colOff>
      <xdr:row>37</xdr:row>
      <xdr:rowOff>47625</xdr:rowOff>
    </xdr:to>
    <xdr:sp>
      <xdr:nvSpPr>
        <xdr:cNvPr id="3" name="AutoShape 4"/>
        <xdr:cNvSpPr>
          <a:spLocks/>
        </xdr:cNvSpPr>
      </xdr:nvSpPr>
      <xdr:spPr>
        <a:xfrm rot="-26467895">
          <a:off x="3152775" y="4610100"/>
          <a:ext cx="3000375" cy="1704975"/>
        </a:xfrm>
        <a:prstGeom prst="circularArrow">
          <a:avLst>
            <a:gd name="adj1" fmla="val -17815847"/>
            <a:gd name="adj2" fmla="val 4618425"/>
            <a:gd name="adj3" fmla="val -4550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1419225</xdr:colOff>
      <xdr:row>11</xdr:row>
      <xdr:rowOff>95250</xdr:rowOff>
    </xdr:from>
    <xdr:to>
      <xdr:col>7</xdr:col>
      <xdr:colOff>114300</xdr:colOff>
      <xdr:row>15</xdr:row>
      <xdr:rowOff>38100</xdr:rowOff>
    </xdr:to>
    <xdr:sp>
      <xdr:nvSpPr>
        <xdr:cNvPr id="1" name="AutoShape 3"/>
        <xdr:cNvSpPr>
          <a:spLocks/>
        </xdr:cNvSpPr>
      </xdr:nvSpPr>
      <xdr:spPr>
        <a:xfrm>
          <a:off x="1543050" y="1771650"/>
          <a:ext cx="4038600" cy="800100"/>
        </a:xfrm>
        <a:prstGeom prst="foldedCorner">
          <a:avLst>
            <a:gd name="adj" fmla="val 36124"/>
          </a:avLst>
        </a:prstGeom>
        <a:solidFill>
          <a:srgbClr val="00FF00">
            <a:alpha val="2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22</xdr:row>
      <xdr:rowOff>123825</xdr:rowOff>
    </xdr:from>
    <xdr:to>
      <xdr:col>5</xdr:col>
      <xdr:colOff>47625</xdr:colOff>
      <xdr:row>24</xdr:row>
      <xdr:rowOff>95250</xdr:rowOff>
    </xdr:to>
    <xdr:sp>
      <xdr:nvSpPr>
        <xdr:cNvPr id="2" name="AutoShape 4"/>
        <xdr:cNvSpPr>
          <a:spLocks/>
        </xdr:cNvSpPr>
      </xdr:nvSpPr>
      <xdr:spPr>
        <a:xfrm>
          <a:off x="123825" y="3724275"/>
          <a:ext cx="3000375" cy="371475"/>
        </a:xfrm>
        <a:prstGeom prst="foldedCorner">
          <a:avLst>
            <a:gd name="adj" fmla="val 34833"/>
          </a:avLst>
        </a:prstGeom>
        <a:solidFill>
          <a:srgbClr val="00FF00">
            <a:alpha val="2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22</xdr:row>
      <xdr:rowOff>114300</xdr:rowOff>
    </xdr:from>
    <xdr:to>
      <xdr:col>8</xdr:col>
      <xdr:colOff>228600</xdr:colOff>
      <xdr:row>24</xdr:row>
      <xdr:rowOff>95250</xdr:rowOff>
    </xdr:to>
    <xdr:sp>
      <xdr:nvSpPr>
        <xdr:cNvPr id="3" name="AutoShape 5"/>
        <xdr:cNvSpPr>
          <a:spLocks/>
        </xdr:cNvSpPr>
      </xdr:nvSpPr>
      <xdr:spPr>
        <a:xfrm>
          <a:off x="3419475" y="3714750"/>
          <a:ext cx="2952750" cy="381000"/>
        </a:xfrm>
        <a:prstGeom prst="foldedCorner">
          <a:avLst>
            <a:gd name="adj" fmla="val 34833"/>
          </a:avLst>
        </a:prstGeom>
        <a:solidFill>
          <a:srgbClr val="00FF00">
            <a:alpha val="2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95250</xdr:rowOff>
    </xdr:from>
    <xdr:to>
      <xdr:col>9</xdr:col>
      <xdr:colOff>47625</xdr:colOff>
      <xdr:row>2</xdr:row>
      <xdr:rowOff>133350</xdr:rowOff>
    </xdr:to>
    <xdr:sp>
      <xdr:nvSpPr>
        <xdr:cNvPr id="4" name="AutoShape 6"/>
        <xdr:cNvSpPr>
          <a:spLocks/>
        </xdr:cNvSpPr>
      </xdr:nvSpPr>
      <xdr:spPr>
        <a:xfrm>
          <a:off x="57150" y="95250"/>
          <a:ext cx="6619875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8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CC99"/>
                  </a:gs>
                  <a:gs pos="100000">
                    <a:srgbClr val="339966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Working with Direct Costing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4</xdr:row>
      <xdr:rowOff>28575</xdr:rowOff>
    </xdr:from>
    <xdr:to>
      <xdr:col>10</xdr:col>
      <xdr:colOff>495300</xdr:colOff>
      <xdr:row>12</xdr:row>
      <xdr:rowOff>19050</xdr:rowOff>
    </xdr:to>
    <xdr:graphicFrame>
      <xdr:nvGraphicFramePr>
        <xdr:cNvPr id="1" name="Chart 4"/>
        <xdr:cNvGraphicFramePr/>
      </xdr:nvGraphicFramePr>
      <xdr:xfrm>
        <a:off x="3000375" y="733425"/>
        <a:ext cx="49244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12</xdr:row>
      <xdr:rowOff>171450</xdr:rowOff>
    </xdr:from>
    <xdr:to>
      <xdr:col>10</xdr:col>
      <xdr:colOff>495300</xdr:colOff>
      <xdr:row>21</xdr:row>
      <xdr:rowOff>0</xdr:rowOff>
    </xdr:to>
    <xdr:graphicFrame>
      <xdr:nvGraphicFramePr>
        <xdr:cNvPr id="2" name="Chart 5"/>
        <xdr:cNvGraphicFramePr/>
      </xdr:nvGraphicFramePr>
      <xdr:xfrm>
        <a:off x="2981325" y="3286125"/>
        <a:ext cx="494347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D74"/>
  <sheetViews>
    <sheetView showGridLines="0" tabSelected="1" zoomScale="90" zoomScaleNormal="90" workbookViewId="0" topLeftCell="A1">
      <selection activeCell="A3" sqref="A3"/>
    </sheetView>
  </sheetViews>
  <sheetFormatPr defaultColWidth="11.421875" defaultRowHeight="12.75"/>
  <cols>
    <col min="1" max="1" width="114.57421875" style="178" customWidth="1"/>
    <col min="2" max="2" width="6.421875" style="0" customWidth="1"/>
    <col min="3" max="3" width="24.57421875" style="0" customWidth="1"/>
    <col min="4" max="4" width="11.28125" style="0" customWidth="1"/>
  </cols>
  <sheetData>
    <row r="1" spans="1:4" ht="40.5" customHeight="1" thickBot="1" thickTop="1">
      <c r="A1" s="158" t="s">
        <v>6</v>
      </c>
      <c r="C1" s="206" t="str">
        <f>Navigation!$A$1</f>
        <v>Nights in white satin</v>
      </c>
      <c r="D1" s="207"/>
    </row>
    <row r="2" spans="1:3" ht="41.25" customHeight="1">
      <c r="A2" s="159" t="s">
        <v>7</v>
      </c>
      <c r="C2" s="160"/>
    </row>
    <row r="3" ht="52.5" customHeight="1">
      <c r="A3" s="161" t="s">
        <v>30</v>
      </c>
    </row>
    <row r="4" ht="3" customHeight="1">
      <c r="A4" s="162"/>
    </row>
    <row r="5" ht="18.75">
      <c r="A5" s="307" t="s">
        <v>28</v>
      </c>
    </row>
    <row r="6" ht="18.75">
      <c r="A6" s="306"/>
    </row>
    <row r="7" ht="20.25">
      <c r="A7" s="309" t="s">
        <v>29</v>
      </c>
    </row>
    <row r="8" ht="4.5" customHeight="1">
      <c r="A8" s="309"/>
    </row>
    <row r="9" ht="12.75">
      <c r="A9" s="163"/>
    </row>
    <row r="10" ht="15">
      <c r="A10" s="164" t="s">
        <v>31</v>
      </c>
    </row>
    <row r="11" ht="15">
      <c r="A11" s="164" t="s">
        <v>32</v>
      </c>
    </row>
    <row r="12" ht="15">
      <c r="A12" s="164" t="s">
        <v>33</v>
      </c>
    </row>
    <row r="13" ht="15">
      <c r="A13" s="164" t="s">
        <v>34</v>
      </c>
    </row>
    <row r="14" ht="15.75">
      <c r="A14" s="165"/>
    </row>
    <row r="15" ht="19.5" customHeight="1">
      <c r="A15" s="166"/>
    </row>
    <row r="16" ht="26.25" customHeight="1">
      <c r="A16" s="167" t="s">
        <v>35</v>
      </c>
    </row>
    <row r="17" ht="30" customHeight="1">
      <c r="A17" s="167" t="s">
        <v>36</v>
      </c>
    </row>
    <row r="18" ht="15.75">
      <c r="A18" s="165"/>
    </row>
    <row r="19" ht="20.25">
      <c r="A19" s="308" t="s">
        <v>37</v>
      </c>
    </row>
    <row r="20" ht="15">
      <c r="A20" s="164"/>
    </row>
    <row r="21" ht="15">
      <c r="A21" s="168" t="str">
        <f>Navigation!D6</f>
        <v>Variable costs per guest group    (Last Year)</v>
      </c>
    </row>
    <row r="22" ht="15">
      <c r="A22" s="168" t="str">
        <f>Navigation!D7</f>
        <v>Revenue and Margin       (LAST YEAR)</v>
      </c>
    </row>
    <row r="23" ht="15">
      <c r="A23" s="168" t="str">
        <f>Navigation!D8</f>
        <v>TOP 5    Rooms sold and revenue     (LAST YEAR)</v>
      </c>
    </row>
    <row r="24" ht="15">
      <c r="A24" s="168" t="str">
        <f>Navigation!D9</f>
        <v>Direct Costing:  THE RULES</v>
      </c>
    </row>
    <row r="25" ht="15">
      <c r="A25" s="168" t="str">
        <f>Navigation!D12</f>
        <v>Do it yourself: Direct Costing with your own figures - experiment and learn!</v>
      </c>
    </row>
    <row r="26" ht="15">
      <c r="A26" s="168" t="str">
        <f>Navigation!D13</f>
        <v>Average bottom price for the current year</v>
      </c>
    </row>
    <row r="27" ht="15">
      <c r="A27" s="168" t="s">
        <v>209</v>
      </c>
    </row>
    <row r="28" ht="15.75">
      <c r="A28" s="169"/>
    </row>
    <row r="29" ht="15.75">
      <c r="A29" s="165"/>
    </row>
    <row r="30" ht="12.75">
      <c r="A30" s="163"/>
    </row>
    <row r="31" ht="15.75">
      <c r="A31" s="311" t="s">
        <v>41</v>
      </c>
    </row>
    <row r="32" ht="15.75">
      <c r="A32" s="312" t="s">
        <v>38</v>
      </c>
    </row>
    <row r="33" ht="15.75">
      <c r="A33" s="312" t="s">
        <v>39</v>
      </c>
    </row>
    <row r="34" ht="15.75">
      <c r="A34" s="312" t="s">
        <v>40</v>
      </c>
    </row>
    <row r="35" ht="12.75">
      <c r="A35" s="163"/>
    </row>
    <row r="36" ht="20.25" customHeight="1">
      <c r="A36" s="170" t="s">
        <v>42</v>
      </c>
    </row>
    <row r="37" ht="12.75">
      <c r="A37" s="171"/>
    </row>
    <row r="38" ht="18">
      <c r="A38" s="170" t="s">
        <v>43</v>
      </c>
    </row>
    <row r="39" ht="15.75">
      <c r="A39" s="172" t="s">
        <v>44</v>
      </c>
    </row>
    <row r="40" ht="15.75">
      <c r="A40" s="172" t="s">
        <v>45</v>
      </c>
    </row>
    <row r="41" ht="15.75">
      <c r="A41" s="172" t="s">
        <v>46</v>
      </c>
    </row>
    <row r="42" ht="15.75">
      <c r="A42" s="172"/>
    </row>
    <row r="43" ht="15.75">
      <c r="A43" s="173"/>
    </row>
    <row r="44" ht="18">
      <c r="A44" s="170" t="s">
        <v>47</v>
      </c>
    </row>
    <row r="45" ht="15.75">
      <c r="A45" s="172" t="s">
        <v>48</v>
      </c>
    </row>
    <row r="46" ht="15.75">
      <c r="A46" s="172" t="s">
        <v>49</v>
      </c>
    </row>
    <row r="47" ht="15.75">
      <c r="A47" s="172"/>
    </row>
    <row r="48" ht="15.75">
      <c r="A48" s="173"/>
    </row>
    <row r="49" ht="15.75">
      <c r="A49" s="173"/>
    </row>
    <row r="50" ht="15.75">
      <c r="A50" s="173"/>
    </row>
    <row r="51" ht="18">
      <c r="A51" s="170" t="s">
        <v>50</v>
      </c>
    </row>
    <row r="52" ht="15.75">
      <c r="A52" s="174" t="s">
        <v>51</v>
      </c>
    </row>
    <row r="53" ht="12.75">
      <c r="A53" s="175"/>
    </row>
    <row r="54" ht="12.75">
      <c r="A54" s="175"/>
    </row>
    <row r="55" ht="12.75">
      <c r="A55" s="163"/>
    </row>
    <row r="56" ht="12.75">
      <c r="A56" s="163"/>
    </row>
    <row r="57" ht="12.75">
      <c r="A57" s="163"/>
    </row>
    <row r="58" ht="12.75">
      <c r="A58" s="163"/>
    </row>
    <row r="59" ht="12.75">
      <c r="A59" s="163"/>
    </row>
    <row r="60" ht="15.75">
      <c r="A60" s="165" t="s">
        <v>54</v>
      </c>
    </row>
    <row r="61" ht="15.75">
      <c r="A61" s="165" t="s">
        <v>53</v>
      </c>
    </row>
    <row r="62" ht="1.5" customHeight="1">
      <c r="A62" s="165"/>
    </row>
    <row r="63" ht="21">
      <c r="A63" s="266" t="s">
        <v>52</v>
      </c>
    </row>
    <row r="64" ht="12.75">
      <c r="A64" s="163"/>
    </row>
    <row r="65" ht="12.75">
      <c r="A65" s="163"/>
    </row>
    <row r="66" ht="15.75">
      <c r="A66" s="165"/>
    </row>
    <row r="67" ht="15.75">
      <c r="A67" s="312" t="s">
        <v>55</v>
      </c>
    </row>
    <row r="68" ht="15.75">
      <c r="A68" s="312" t="s">
        <v>56</v>
      </c>
    </row>
    <row r="69" ht="15" customHeight="1">
      <c r="A69" s="163"/>
    </row>
    <row r="70" ht="12.75">
      <c r="A70" s="176" t="s">
        <v>8</v>
      </c>
    </row>
    <row r="71" ht="22.5" customHeight="1">
      <c r="A71" s="177" t="s">
        <v>9</v>
      </c>
    </row>
    <row r="72" ht="3" customHeight="1">
      <c r="A72" s="163"/>
    </row>
    <row r="73" ht="16.5" customHeight="1">
      <c r="A73" s="319" t="str">
        <f>+CONCATENATE("copyright 2005 - ",YEAR(A74)," K! Business Solutions GmbH, Erkrath - Germany")</f>
        <v>copyright 2005 - 2009 K! Business Solutions GmbH, Erkrath - Germany</v>
      </c>
    </row>
    <row r="74" ht="4.5" customHeight="1">
      <c r="A74" s="320">
        <f ca="1">+TODAY()</f>
        <v>40175</v>
      </c>
    </row>
    <row r="76" ht="7.5" customHeight="1"/>
  </sheetData>
  <hyperlinks>
    <hyperlink ref="C1" location="Navigation!A1" display="=Navigation!$A$1"/>
  </hyperlinks>
  <printOptions horizontalCentered="1"/>
  <pageMargins left="0.5905511811023623" right="0" top="0.5905511811023623" bottom="0.3937007874015748" header="0" footer="0"/>
  <pageSetup fitToHeight="2" fitToWidth="1"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zoomScale="90" zoomScaleNormal="90" workbookViewId="0" topLeftCell="A1">
      <selection activeCell="D29" sqref="D29"/>
    </sheetView>
  </sheetViews>
  <sheetFormatPr defaultColWidth="11.421875" defaultRowHeight="12.75"/>
  <cols>
    <col min="1" max="3" width="5.421875" style="0" customWidth="1"/>
    <col min="4" max="4" width="18.7109375" style="0" customWidth="1"/>
    <col min="6" max="6" width="8.28125" style="0" customWidth="1"/>
    <col min="10" max="10" width="12.28125" style="0" customWidth="1"/>
    <col min="11" max="11" width="9.140625" style="0" customWidth="1"/>
    <col min="12" max="12" width="12.28125" style="0" customWidth="1"/>
    <col min="13" max="13" width="9.28125" style="0" customWidth="1"/>
    <col min="14" max="14" width="8.140625" style="0" customWidth="1"/>
    <col min="15" max="15" width="2.7109375" style="0" customWidth="1"/>
    <col min="16" max="16" width="16.7109375" style="0" customWidth="1"/>
    <col min="17" max="17" width="14.00390625" style="0" customWidth="1"/>
  </cols>
  <sheetData>
    <row r="1" spans="1:17" ht="18.75" customHeight="1" thickBot="1">
      <c r="A1" s="9" t="s">
        <v>178</v>
      </c>
      <c r="B1" s="9"/>
      <c r="C1" s="9"/>
      <c r="K1" s="31" t="str">
        <f>DATA!A10</f>
        <v>Hotel:</v>
      </c>
      <c r="N1" s="28" t="str">
        <f>DATA!C10</f>
        <v>Amaryllis</v>
      </c>
      <c r="P1" s="212" t="str">
        <f>Navigation!$A$1</f>
        <v>Nights in white satin</v>
      </c>
      <c r="Q1" s="207"/>
    </row>
    <row r="2" ht="6.75" customHeight="1">
      <c r="K2" s="31"/>
    </row>
    <row r="3" spans="1:14" ht="15">
      <c r="A3" s="32" t="str">
        <f>DATA!A16</f>
        <v>Reporting currency:</v>
      </c>
      <c r="B3" s="32"/>
      <c r="C3" s="32"/>
      <c r="D3" s="33"/>
      <c r="E3" s="32" t="str">
        <f>DATA!C16</f>
        <v>SFR</v>
      </c>
      <c r="K3" s="31" t="str">
        <f>DATA!A14</f>
        <v>Year:</v>
      </c>
      <c r="N3" s="9">
        <f>DATA!D30</f>
        <v>2006</v>
      </c>
    </row>
    <row r="4" spans="1:14" ht="15">
      <c r="A4" s="32"/>
      <c r="B4" s="32"/>
      <c r="C4" s="32"/>
      <c r="D4" s="33"/>
      <c r="E4" s="32"/>
      <c r="K4" s="31"/>
      <c r="N4" s="9"/>
    </row>
    <row r="5" spans="1:14" ht="5.25" customHeight="1">
      <c r="A5" s="32"/>
      <c r="B5" s="32"/>
      <c r="C5" s="32"/>
      <c r="D5" s="33"/>
      <c r="E5" s="33"/>
      <c r="F5" s="33"/>
      <c r="G5" s="33"/>
      <c r="H5" s="33"/>
      <c r="I5" s="33"/>
      <c r="K5" s="31"/>
      <c r="N5" s="9"/>
    </row>
    <row r="6" ht="4.5" customHeight="1"/>
    <row r="7" spans="1:14" ht="48" customHeight="1">
      <c r="A7" s="122" t="s">
        <v>179</v>
      </c>
      <c r="B7" s="122" t="s">
        <v>21</v>
      </c>
      <c r="C7" s="122" t="s">
        <v>22</v>
      </c>
      <c r="D7" s="122" t="str">
        <f>DATA!C84</f>
        <v>Customer group</v>
      </c>
      <c r="E7" s="123" t="str">
        <f>DATA!F84</f>
        <v>rooms sold</v>
      </c>
      <c r="F7" s="124" t="s">
        <v>180</v>
      </c>
      <c r="G7" s="125" t="str">
        <f>DATA!G84</f>
        <v>Average room rate</v>
      </c>
      <c r="H7" s="125" t="s">
        <v>123</v>
      </c>
      <c r="I7" s="126" t="s">
        <v>183</v>
      </c>
      <c r="J7" s="122" t="s">
        <v>184</v>
      </c>
      <c r="K7" s="124" t="s">
        <v>181</v>
      </c>
      <c r="L7" s="122" t="s">
        <v>185</v>
      </c>
      <c r="M7" s="122" t="s">
        <v>186</v>
      </c>
      <c r="N7" s="124" t="s">
        <v>182</v>
      </c>
    </row>
    <row r="8" spans="1:14" ht="24.75" customHeight="1">
      <c r="A8" s="17">
        <v>1</v>
      </c>
      <c r="B8" s="17">
        <f>F8</f>
        <v>6</v>
      </c>
      <c r="C8" s="17">
        <f>K8</f>
        <v>5</v>
      </c>
      <c r="D8" s="18" t="str">
        <f>DATA!C85</f>
        <v>local corporate 1</v>
      </c>
      <c r="E8" s="130">
        <f>DATA!F85</f>
        <v>1525</v>
      </c>
      <c r="F8" s="131">
        <f aca="true" t="shared" si="0" ref="F8:F22">RANK(E8,E$8:E$22,0)</f>
        <v>6</v>
      </c>
      <c r="G8" s="104">
        <f>DATA!G85</f>
        <v>95</v>
      </c>
      <c r="H8" s="104">
        <f>BMcost!J8</f>
        <v>12.349307280094106</v>
      </c>
      <c r="I8" s="36">
        <f>G8-H8</f>
        <v>82.65069271990589</v>
      </c>
      <c r="J8" s="19">
        <f>E8*G8</f>
        <v>144875</v>
      </c>
      <c r="K8" s="131">
        <f>RANK(J8,J$8:J$22,0)</f>
        <v>5</v>
      </c>
      <c r="L8" s="132">
        <f>I8*E8</f>
        <v>126042.30639785649</v>
      </c>
      <c r="M8" s="133">
        <f>IF(J8&gt;0,L8/J8,0)</f>
        <v>0.8700072917884831</v>
      </c>
      <c r="N8" s="142">
        <f aca="true" t="shared" si="1" ref="N8:N22">RANK(L8,L$8:L$22,0)</f>
        <v>5</v>
      </c>
    </row>
    <row r="9" spans="1:14" ht="15.75">
      <c r="A9" s="20">
        <v>2</v>
      </c>
      <c r="B9" s="20">
        <f aca="true" t="shared" si="2" ref="B9:B22">F9</f>
        <v>7</v>
      </c>
      <c r="C9" s="20">
        <f aca="true" t="shared" si="3" ref="C9:C22">K9</f>
        <v>6</v>
      </c>
      <c r="D9" s="21" t="str">
        <f>DATA!C86</f>
        <v>local corporate 2</v>
      </c>
      <c r="E9" s="134">
        <f>DATA!F86</f>
        <v>1500</v>
      </c>
      <c r="F9" s="135">
        <f t="shared" si="0"/>
        <v>7</v>
      </c>
      <c r="G9" s="105">
        <f>DATA!G86</f>
        <v>90</v>
      </c>
      <c r="H9" s="105">
        <f>BMcost!J9</f>
        <v>12.349307280094106</v>
      </c>
      <c r="I9" s="37">
        <f aca="true" t="shared" si="4" ref="I9:I22">G9-H9</f>
        <v>77.65069271990589</v>
      </c>
      <c r="J9" s="22">
        <f aca="true" t="shared" si="5" ref="J9:J22">E9*G9</f>
        <v>135000</v>
      </c>
      <c r="K9" s="135">
        <f>RANK(J9,J$8:J$22,0)</f>
        <v>6</v>
      </c>
      <c r="L9" s="136">
        <f aca="true" t="shared" si="6" ref="L9:L22">I9*E9</f>
        <v>116476.03907985883</v>
      </c>
      <c r="M9" s="137">
        <f>IF(J9&gt;0,L9/J9,0)</f>
        <v>0.8627854746656209</v>
      </c>
      <c r="N9" s="143">
        <f t="shared" si="1"/>
        <v>6</v>
      </c>
    </row>
    <row r="10" spans="1:14" ht="15.75">
      <c r="A10" s="20">
        <v>3</v>
      </c>
      <c r="B10" s="20">
        <f t="shared" si="2"/>
        <v>4</v>
      </c>
      <c r="C10" s="20">
        <f t="shared" si="3"/>
        <v>2</v>
      </c>
      <c r="D10" s="21" t="str">
        <f>DATA!C87</f>
        <v>local corporate 3</v>
      </c>
      <c r="E10" s="134">
        <f>DATA!F87</f>
        <v>2800</v>
      </c>
      <c r="F10" s="135">
        <f t="shared" si="0"/>
        <v>4</v>
      </c>
      <c r="G10" s="105">
        <f>DATA!G87</f>
        <v>85</v>
      </c>
      <c r="H10" s="105">
        <f>BMcost!J10</f>
        <v>12.349307280094106</v>
      </c>
      <c r="I10" s="37">
        <f t="shared" si="4"/>
        <v>72.65069271990589</v>
      </c>
      <c r="J10" s="22">
        <f t="shared" si="5"/>
        <v>238000</v>
      </c>
      <c r="K10" s="135">
        <f aca="true" t="shared" si="7" ref="K10:K22">RANK(J10,J$8:J$22,0)</f>
        <v>2</v>
      </c>
      <c r="L10" s="136">
        <f t="shared" si="6"/>
        <v>203421.93961573648</v>
      </c>
      <c r="M10" s="137">
        <f aca="true" t="shared" si="8" ref="M10:M22">IF(J10&gt;0,L10/J10,0)</f>
        <v>0.8547140319988927</v>
      </c>
      <c r="N10" s="143">
        <f t="shared" si="1"/>
        <v>2</v>
      </c>
    </row>
    <row r="11" spans="1:14" ht="15.75">
      <c r="A11" s="20">
        <v>4</v>
      </c>
      <c r="B11" s="20">
        <f t="shared" si="2"/>
        <v>7</v>
      </c>
      <c r="C11" s="20">
        <f t="shared" si="3"/>
        <v>7</v>
      </c>
      <c r="D11" s="21" t="str">
        <f>DATA!C88</f>
        <v>local corporate 4</v>
      </c>
      <c r="E11" s="134">
        <f>DATA!F88</f>
        <v>1500</v>
      </c>
      <c r="F11" s="135">
        <f t="shared" si="0"/>
        <v>7</v>
      </c>
      <c r="G11" s="105">
        <f>DATA!G88</f>
        <v>80</v>
      </c>
      <c r="H11" s="105">
        <f>BMcost!J11</f>
        <v>12.349307280094106</v>
      </c>
      <c r="I11" s="37">
        <f t="shared" si="4"/>
        <v>67.65069271990589</v>
      </c>
      <c r="J11" s="22">
        <f t="shared" si="5"/>
        <v>120000</v>
      </c>
      <c r="K11" s="135">
        <f t="shared" si="7"/>
        <v>7</v>
      </c>
      <c r="L11" s="136">
        <f t="shared" si="6"/>
        <v>101476.03907985883</v>
      </c>
      <c r="M11" s="137">
        <f t="shared" si="8"/>
        <v>0.8456336589988236</v>
      </c>
      <c r="N11" s="143">
        <f t="shared" si="1"/>
        <v>7</v>
      </c>
    </row>
    <row r="12" spans="1:14" ht="15.75">
      <c r="A12" s="20">
        <v>5</v>
      </c>
      <c r="B12" s="20">
        <f t="shared" si="2"/>
        <v>2</v>
      </c>
      <c r="C12" s="20">
        <f t="shared" si="3"/>
        <v>1</v>
      </c>
      <c r="D12" s="21" t="str">
        <f>DATA!C89</f>
        <v>local corporate 5</v>
      </c>
      <c r="E12" s="134">
        <f>DATA!F89</f>
        <v>4400</v>
      </c>
      <c r="F12" s="135">
        <f t="shared" si="0"/>
        <v>2</v>
      </c>
      <c r="G12" s="105">
        <f>DATA!G89</f>
        <v>75</v>
      </c>
      <c r="H12" s="105">
        <f>BMcost!J12</f>
        <v>12.349307280094106</v>
      </c>
      <c r="I12" s="37">
        <f t="shared" si="4"/>
        <v>62.65069271990589</v>
      </c>
      <c r="J12" s="22">
        <f t="shared" si="5"/>
        <v>330000</v>
      </c>
      <c r="K12" s="135">
        <f t="shared" si="7"/>
        <v>1</v>
      </c>
      <c r="L12" s="136">
        <f t="shared" si="6"/>
        <v>275663.0479675859</v>
      </c>
      <c r="M12" s="137">
        <f t="shared" si="8"/>
        <v>0.8353425695987452</v>
      </c>
      <c r="N12" s="143">
        <f t="shared" si="1"/>
        <v>1</v>
      </c>
    </row>
    <row r="13" spans="1:14" ht="15.75">
      <c r="A13" s="20">
        <v>6</v>
      </c>
      <c r="B13" s="20">
        <f t="shared" si="2"/>
        <v>11</v>
      </c>
      <c r="C13" s="20">
        <f t="shared" si="3"/>
        <v>10</v>
      </c>
      <c r="D13" s="21" t="str">
        <f>DATA!C90</f>
        <v>local corporate 6</v>
      </c>
      <c r="E13" s="134">
        <f>DATA!F90</f>
        <v>780</v>
      </c>
      <c r="F13" s="135">
        <f t="shared" si="0"/>
        <v>11</v>
      </c>
      <c r="G13" s="105">
        <f>DATA!G90</f>
        <v>70</v>
      </c>
      <c r="H13" s="105">
        <f>BMcost!J13</f>
        <v>12.349307280094106</v>
      </c>
      <c r="I13" s="37">
        <f t="shared" si="4"/>
        <v>57.65069271990589</v>
      </c>
      <c r="J13" s="22">
        <f t="shared" si="5"/>
        <v>54600</v>
      </c>
      <c r="K13" s="135">
        <f t="shared" si="7"/>
        <v>10</v>
      </c>
      <c r="L13" s="136">
        <f t="shared" si="6"/>
        <v>44967.5403215266</v>
      </c>
      <c r="M13" s="137">
        <f t="shared" si="8"/>
        <v>0.8235813245700843</v>
      </c>
      <c r="N13" s="143">
        <f t="shared" si="1"/>
        <v>9</v>
      </c>
    </row>
    <row r="14" spans="1:14" ht="15.75">
      <c r="A14" s="20">
        <v>7</v>
      </c>
      <c r="B14" s="20">
        <f t="shared" si="2"/>
        <v>3</v>
      </c>
      <c r="C14" s="20">
        <f t="shared" si="3"/>
        <v>4</v>
      </c>
      <c r="D14" s="21" t="str">
        <f>DATA!C91</f>
        <v>local corporate 7</v>
      </c>
      <c r="E14" s="134">
        <f>DATA!F91</f>
        <v>3050</v>
      </c>
      <c r="F14" s="135">
        <f t="shared" si="0"/>
        <v>3</v>
      </c>
      <c r="G14" s="105">
        <f>DATA!G91</f>
        <v>65</v>
      </c>
      <c r="H14" s="105">
        <f>BMcost!J14</f>
        <v>12.349307280094106</v>
      </c>
      <c r="I14" s="37">
        <f t="shared" si="4"/>
        <v>52.65069271990589</v>
      </c>
      <c r="J14" s="22">
        <f t="shared" si="5"/>
        <v>198250</v>
      </c>
      <c r="K14" s="135">
        <f t="shared" si="7"/>
        <v>4</v>
      </c>
      <c r="L14" s="136">
        <f t="shared" si="6"/>
        <v>160584.61279571298</v>
      </c>
      <c r="M14" s="137">
        <f t="shared" si="8"/>
        <v>0.8100106572293214</v>
      </c>
      <c r="N14" s="143">
        <f t="shared" si="1"/>
        <v>4</v>
      </c>
    </row>
    <row r="15" spans="1:14" ht="15.75">
      <c r="A15" s="20">
        <v>8</v>
      </c>
      <c r="B15" s="20">
        <f t="shared" si="2"/>
        <v>12</v>
      </c>
      <c r="C15" s="20">
        <f t="shared" si="3"/>
        <v>12</v>
      </c>
      <c r="D15" s="21" t="str">
        <f>DATA!C92</f>
        <v>local corporate 8</v>
      </c>
      <c r="E15" s="134">
        <f>DATA!F92</f>
        <v>500</v>
      </c>
      <c r="F15" s="135">
        <f t="shared" si="0"/>
        <v>12</v>
      </c>
      <c r="G15" s="105">
        <f>DATA!G92</f>
        <v>63</v>
      </c>
      <c r="H15" s="105">
        <f>BMcost!J15</f>
        <v>12.349307280094106</v>
      </c>
      <c r="I15" s="37">
        <f t="shared" si="4"/>
        <v>50.65069271990589</v>
      </c>
      <c r="J15" s="22">
        <f t="shared" si="5"/>
        <v>31500</v>
      </c>
      <c r="K15" s="135">
        <f t="shared" si="7"/>
        <v>12</v>
      </c>
      <c r="L15" s="136">
        <f t="shared" si="6"/>
        <v>25325.346359952946</v>
      </c>
      <c r="M15" s="137">
        <f t="shared" si="8"/>
        <v>0.8039792495223157</v>
      </c>
      <c r="N15" s="143">
        <f t="shared" si="1"/>
        <v>11</v>
      </c>
    </row>
    <row r="16" spans="1:14" ht="15.75">
      <c r="A16" s="20">
        <v>9</v>
      </c>
      <c r="B16" s="20">
        <f t="shared" si="2"/>
        <v>10</v>
      </c>
      <c r="C16" s="20">
        <f t="shared" si="3"/>
        <v>11</v>
      </c>
      <c r="D16" s="21" t="str">
        <f>DATA!C93</f>
        <v>Week-end</v>
      </c>
      <c r="E16" s="134">
        <f>DATA!F93</f>
        <v>850</v>
      </c>
      <c r="F16" s="135">
        <f t="shared" si="0"/>
        <v>10</v>
      </c>
      <c r="G16" s="105">
        <f>DATA!G93</f>
        <v>60</v>
      </c>
      <c r="H16" s="105">
        <f>BMcost!J16</f>
        <v>12.349307280094106</v>
      </c>
      <c r="I16" s="37">
        <f t="shared" si="4"/>
        <v>47.65069271990589</v>
      </c>
      <c r="J16" s="22">
        <f t="shared" si="5"/>
        <v>51000</v>
      </c>
      <c r="K16" s="135">
        <f t="shared" si="7"/>
        <v>11</v>
      </c>
      <c r="L16" s="136">
        <f t="shared" si="6"/>
        <v>40503.08881192001</v>
      </c>
      <c r="M16" s="137">
        <f t="shared" si="8"/>
        <v>0.7941782119984315</v>
      </c>
      <c r="N16" s="143">
        <f t="shared" si="1"/>
        <v>10</v>
      </c>
    </row>
    <row r="17" spans="1:14" ht="15.75">
      <c r="A17" s="20">
        <v>10</v>
      </c>
      <c r="B17" s="20">
        <f t="shared" si="2"/>
        <v>9</v>
      </c>
      <c r="C17" s="20">
        <f t="shared" si="3"/>
        <v>3</v>
      </c>
      <c r="D17" s="21" t="str">
        <f>DATA!C94</f>
        <v>convention</v>
      </c>
      <c r="E17" s="134">
        <f>DATA!F94</f>
        <v>1300</v>
      </c>
      <c r="F17" s="135">
        <f t="shared" si="0"/>
        <v>9</v>
      </c>
      <c r="G17" s="105">
        <f>DATA!G94</f>
        <v>155</v>
      </c>
      <c r="H17" s="105">
        <f>BMcost!J17</f>
        <v>12.349307280094106</v>
      </c>
      <c r="I17" s="37">
        <f t="shared" si="4"/>
        <v>142.6506927199059</v>
      </c>
      <c r="J17" s="22">
        <f t="shared" si="5"/>
        <v>201500</v>
      </c>
      <c r="K17" s="135">
        <f t="shared" si="7"/>
        <v>3</v>
      </c>
      <c r="L17" s="136">
        <f t="shared" si="6"/>
        <v>185445.90053587765</v>
      </c>
      <c r="M17" s="137">
        <f t="shared" si="8"/>
        <v>0.9203270498058445</v>
      </c>
      <c r="N17" s="143">
        <f t="shared" si="1"/>
        <v>3</v>
      </c>
    </row>
    <row r="18" spans="1:14" ht="15.75">
      <c r="A18" s="20">
        <v>11</v>
      </c>
      <c r="B18" s="20">
        <f t="shared" si="2"/>
        <v>15</v>
      </c>
      <c r="C18" s="20">
        <f t="shared" si="3"/>
        <v>15</v>
      </c>
      <c r="D18" s="21" t="str">
        <f>DATA!C95</f>
        <v>Walk-In</v>
      </c>
      <c r="E18" s="134">
        <f>DATA!F95</f>
        <v>80</v>
      </c>
      <c r="F18" s="135">
        <f t="shared" si="0"/>
        <v>15</v>
      </c>
      <c r="G18" s="105">
        <f>DATA!G95</f>
        <v>90</v>
      </c>
      <c r="H18" s="105">
        <f>BMcost!J18</f>
        <v>17.03637433015292</v>
      </c>
      <c r="I18" s="37">
        <f t="shared" si="4"/>
        <v>72.96362566984708</v>
      </c>
      <c r="J18" s="22">
        <f t="shared" si="5"/>
        <v>7200</v>
      </c>
      <c r="K18" s="135">
        <f t="shared" si="7"/>
        <v>15</v>
      </c>
      <c r="L18" s="136">
        <f t="shared" si="6"/>
        <v>5837.090053587766</v>
      </c>
      <c r="M18" s="137">
        <f t="shared" si="8"/>
        <v>0.8107069518871898</v>
      </c>
      <c r="N18" s="143">
        <f t="shared" si="1"/>
        <v>13</v>
      </c>
    </row>
    <row r="19" spans="1:14" ht="15.75">
      <c r="A19" s="20">
        <v>12</v>
      </c>
      <c r="B19" s="20">
        <f t="shared" si="2"/>
        <v>1</v>
      </c>
      <c r="C19" s="20">
        <f t="shared" si="3"/>
        <v>9</v>
      </c>
      <c r="D19" s="21" t="str">
        <f>DATA!C96</f>
        <v>Specials</v>
      </c>
      <c r="E19" s="134">
        <f>DATA!F96</f>
        <v>8560</v>
      </c>
      <c r="F19" s="135">
        <f t="shared" si="0"/>
        <v>1</v>
      </c>
      <c r="G19" s="105">
        <f>DATA!G96</f>
        <v>10</v>
      </c>
      <c r="H19" s="105">
        <f>BMcost!J19</f>
        <v>20.18152773383725</v>
      </c>
      <c r="I19" s="37">
        <f t="shared" si="4"/>
        <v>-10.18152773383725</v>
      </c>
      <c r="J19" s="22">
        <f t="shared" si="5"/>
        <v>85600</v>
      </c>
      <c r="K19" s="135">
        <f t="shared" si="7"/>
        <v>9</v>
      </c>
      <c r="L19" s="136">
        <f t="shared" si="6"/>
        <v>-87153.87740164685</v>
      </c>
      <c r="M19" s="137">
        <f t="shared" si="8"/>
        <v>-1.018152773383725</v>
      </c>
      <c r="N19" s="143">
        <f t="shared" si="1"/>
        <v>15</v>
      </c>
    </row>
    <row r="20" spans="1:14" ht="15.75">
      <c r="A20" s="20">
        <v>13</v>
      </c>
      <c r="B20" s="20">
        <f t="shared" si="2"/>
        <v>13</v>
      </c>
      <c r="C20" s="20">
        <f t="shared" si="3"/>
        <v>13</v>
      </c>
      <c r="D20" s="21" t="str">
        <f>DATA!C97</f>
        <v>Weddings</v>
      </c>
      <c r="E20" s="134">
        <f>DATA!F97</f>
        <v>395</v>
      </c>
      <c r="F20" s="135">
        <f t="shared" si="0"/>
        <v>13</v>
      </c>
      <c r="G20" s="105">
        <f>DATA!G97</f>
        <v>50</v>
      </c>
      <c r="H20" s="105">
        <f>BMcost!J20</f>
        <v>18.70947927713594</v>
      </c>
      <c r="I20" s="37">
        <f t="shared" si="4"/>
        <v>31.29052072286406</v>
      </c>
      <c r="J20" s="22">
        <f t="shared" si="5"/>
        <v>19750</v>
      </c>
      <c r="K20" s="135">
        <f t="shared" si="7"/>
        <v>13</v>
      </c>
      <c r="L20" s="136">
        <f t="shared" si="6"/>
        <v>12359.755685531303</v>
      </c>
      <c r="M20" s="137">
        <f t="shared" si="8"/>
        <v>0.6258104144572811</v>
      </c>
      <c r="N20" s="143">
        <f t="shared" si="1"/>
        <v>12</v>
      </c>
    </row>
    <row r="21" spans="1:14" ht="15.75">
      <c r="A21" s="20">
        <v>14</v>
      </c>
      <c r="B21" s="20">
        <f t="shared" si="2"/>
        <v>5</v>
      </c>
      <c r="C21" s="20">
        <f t="shared" si="3"/>
        <v>8</v>
      </c>
      <c r="D21" s="21" t="str">
        <f>DATA!C98</f>
        <v>Concerts</v>
      </c>
      <c r="E21" s="134">
        <f>DATA!F98</f>
        <v>1570</v>
      </c>
      <c r="F21" s="135">
        <f t="shared" si="0"/>
        <v>5</v>
      </c>
      <c r="G21" s="105">
        <f>DATA!G98</f>
        <v>75</v>
      </c>
      <c r="H21" s="105">
        <f>BMcost!J21</f>
        <v>12.110475838052892</v>
      </c>
      <c r="I21" s="37">
        <f t="shared" si="4"/>
        <v>62.88952416194711</v>
      </c>
      <c r="J21" s="22">
        <f t="shared" si="5"/>
        <v>117750</v>
      </c>
      <c r="K21" s="135">
        <f t="shared" si="7"/>
        <v>8</v>
      </c>
      <c r="L21" s="136">
        <f t="shared" si="6"/>
        <v>98736.55293425696</v>
      </c>
      <c r="M21" s="137">
        <f t="shared" si="8"/>
        <v>0.8385269888259614</v>
      </c>
      <c r="N21" s="143">
        <f t="shared" si="1"/>
        <v>8</v>
      </c>
    </row>
    <row r="22" spans="1:14" ht="15.75">
      <c r="A22" s="23">
        <v>15</v>
      </c>
      <c r="B22" s="23">
        <f t="shared" si="2"/>
        <v>14</v>
      </c>
      <c r="C22" s="23">
        <f t="shared" si="3"/>
        <v>14</v>
      </c>
      <c r="D22" s="24" t="str">
        <f>DATA!C99</f>
        <v>various</v>
      </c>
      <c r="E22" s="138">
        <f>DATA!F99</f>
        <v>98</v>
      </c>
      <c r="F22" s="139">
        <f t="shared" si="0"/>
        <v>14</v>
      </c>
      <c r="G22" s="106">
        <f>DATA!G99</f>
        <v>77</v>
      </c>
      <c r="H22" s="106">
        <f>BMcost!J22</f>
        <v>17.85900242465304</v>
      </c>
      <c r="I22" s="38">
        <f t="shared" si="4"/>
        <v>59.14099757534696</v>
      </c>
      <c r="J22" s="25">
        <f t="shared" si="5"/>
        <v>7546</v>
      </c>
      <c r="K22" s="139">
        <f t="shared" si="7"/>
        <v>14</v>
      </c>
      <c r="L22" s="140">
        <f t="shared" si="6"/>
        <v>5795.817762384002</v>
      </c>
      <c r="M22" s="141">
        <f t="shared" si="8"/>
        <v>0.7680649035759345</v>
      </c>
      <c r="N22" s="144">
        <f t="shared" si="1"/>
        <v>14</v>
      </c>
    </row>
    <row r="23" spans="4:14" s="5" customFormat="1" ht="14.25" customHeight="1">
      <c r="D23" s="127" t="s">
        <v>3</v>
      </c>
      <c r="E23" s="128">
        <f>SUM(E8:E22)</f>
        <v>28908</v>
      </c>
      <c r="F23" s="34"/>
      <c r="G23" s="34"/>
      <c r="H23" s="34"/>
      <c r="I23" s="34"/>
      <c r="J23" s="129">
        <f>SUM(J8:J22)</f>
        <v>1742571</v>
      </c>
      <c r="K23" s="34"/>
      <c r="L23" s="129">
        <f>SUM(L8:L22)</f>
        <v>1315481.1999999995</v>
      </c>
      <c r="M23" s="35">
        <f>IF(L23&gt;0,L23/J23,0)</f>
        <v>0.7549082361636912</v>
      </c>
      <c r="N23" s="34"/>
    </row>
    <row r="25" ht="21.75" customHeight="1"/>
    <row r="26" spans="4:6" ht="12.75">
      <c r="D26" s="145" t="s">
        <v>176</v>
      </c>
      <c r="F26" s="147" t="s">
        <v>187</v>
      </c>
    </row>
    <row r="27" ht="3.75" customHeight="1"/>
    <row r="28" spans="4:6" ht="12.75">
      <c r="D28" s="146" t="s">
        <v>176</v>
      </c>
      <c r="F28" s="148" t="s">
        <v>188</v>
      </c>
    </row>
  </sheetData>
  <conditionalFormatting sqref="M23">
    <cfRule type="expression" priority="1" dxfId="5" stopIfTrue="1">
      <formula>OR($N23=1,$N23=2,$N23=3)</formula>
    </cfRule>
  </conditionalFormatting>
  <conditionalFormatting sqref="A8:M22">
    <cfRule type="expression" priority="2" dxfId="5" stopIfTrue="1">
      <formula>OR($N8=1,$N8=2,$N8=3)</formula>
    </cfRule>
    <cfRule type="expression" priority="3" dxfId="6" stopIfTrue="1">
      <formula>$L8&lt;0</formula>
    </cfRule>
  </conditionalFormatting>
  <conditionalFormatting sqref="N8:N22">
    <cfRule type="cellIs" priority="4" dxfId="5" operator="between" stopIfTrue="1">
      <formula>1</formula>
      <formula>3</formula>
    </cfRule>
    <cfRule type="expression" priority="5" dxfId="6" stopIfTrue="1">
      <formula>$L8&lt;0</formula>
    </cfRule>
  </conditionalFormatting>
  <conditionalFormatting sqref="D26 D28">
    <cfRule type="expression" priority="6" dxfId="5" stopIfTrue="1">
      <formula>OR($N25=1,$N25=2,$N25=3)</formula>
    </cfRule>
    <cfRule type="expression" priority="7" dxfId="6" stopIfTrue="1">
      <formula>$L25&lt;0</formula>
    </cfRule>
  </conditionalFormatting>
  <hyperlinks>
    <hyperlink ref="P1" location="Navigation!A1" display="=Navigation!$A$1"/>
  </hyperlinks>
  <printOptions/>
  <pageMargins left="1.1811023622047245" right="0.3937007874015748" top="0.984251968503937" bottom="0.5905511811023623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zoomScale="90" zoomScaleNormal="90" workbookViewId="0" topLeftCell="A1">
      <selection activeCell="A5" sqref="A5"/>
    </sheetView>
  </sheetViews>
  <sheetFormatPr defaultColWidth="11.421875" defaultRowHeight="12.75"/>
  <cols>
    <col min="1" max="1" width="5.421875" style="0" customWidth="1"/>
    <col min="2" max="2" width="18.7109375" style="0" customWidth="1"/>
    <col min="3" max="3" width="10.8515625" style="0" customWidth="1"/>
    <col min="4" max="4" width="8.28125" style="0" customWidth="1"/>
    <col min="8" max="9" width="12.28125" style="0" customWidth="1"/>
    <col min="10" max="10" width="9.28125" style="0" customWidth="1"/>
    <col min="11" max="11" width="8.140625" style="0" customWidth="1"/>
    <col min="12" max="12" width="2.7109375" style="0" customWidth="1"/>
    <col min="13" max="13" width="16.7109375" style="0" customWidth="1"/>
    <col min="14" max="14" width="14.00390625" style="0" customWidth="1"/>
  </cols>
  <sheetData>
    <row r="1" spans="1:14" ht="18.75" customHeight="1" thickBot="1">
      <c r="A1" s="9" t="s">
        <v>203</v>
      </c>
      <c r="I1" s="31" t="str">
        <f>DATA!A10</f>
        <v>Hotel:</v>
      </c>
      <c r="K1" s="28" t="str">
        <f>DATA!C10</f>
        <v>Amaryllis</v>
      </c>
      <c r="M1" s="212" t="str">
        <f>Navigation!$A$1</f>
        <v>Nights in white satin</v>
      </c>
      <c r="N1" s="207"/>
    </row>
    <row r="2" ht="6.75" customHeight="1">
      <c r="I2" s="31"/>
    </row>
    <row r="3" spans="1:11" ht="15">
      <c r="A3" s="32" t="str">
        <f>DATA!A16</f>
        <v>Reporting currency:</v>
      </c>
      <c r="B3" s="33"/>
      <c r="C3" s="32" t="str">
        <f>DATA!C16</f>
        <v>SFR</v>
      </c>
      <c r="D3" s="32"/>
      <c r="I3" s="31" t="str">
        <f>DATA!A14</f>
        <v>Year:</v>
      </c>
      <c r="K3" s="9">
        <f>DATA!D30</f>
        <v>2006</v>
      </c>
    </row>
    <row r="4" spans="1:11" ht="15">
      <c r="A4" s="32"/>
      <c r="B4" s="33"/>
      <c r="C4" s="32"/>
      <c r="D4" s="32"/>
      <c r="K4" s="9"/>
    </row>
    <row r="5" spans="1:11" ht="48" customHeight="1">
      <c r="A5" s="32"/>
      <c r="B5" s="254" t="s">
        <v>204</v>
      </c>
      <c r="C5" s="254" t="str">
        <f>BMrev!J7</f>
        <v>Total Revenue</v>
      </c>
      <c r="D5" s="255" t="s">
        <v>25</v>
      </c>
      <c r="G5" s="33"/>
      <c r="K5" s="9"/>
    </row>
    <row r="6" spans="1:11" ht="20.25" customHeight="1">
      <c r="A6" s="241">
        <v>1</v>
      </c>
      <c r="B6" s="256" t="str">
        <f>VLOOKUP($A6,BMrev!$C:$M,2,FALSE)</f>
        <v>local corporate 5</v>
      </c>
      <c r="C6" s="237">
        <f>VLOOKUP($A6,BMrev!$C:$M,8,FALSE)</f>
        <v>330000</v>
      </c>
      <c r="D6" s="250">
        <f aca="true" t="shared" si="0" ref="D6:D12">C6/C$12</f>
        <v>0.18937535400279243</v>
      </c>
      <c r="G6" s="33"/>
      <c r="K6" s="9"/>
    </row>
    <row r="7" spans="1:11" ht="20.25" customHeight="1">
      <c r="A7" s="242">
        <v>2</v>
      </c>
      <c r="B7" s="257" t="str">
        <f>VLOOKUP($A7,BMrev!$C:$M,2,FALSE)</f>
        <v>local corporate 3</v>
      </c>
      <c r="C7" s="238">
        <f>VLOOKUP($A7,BMrev!$C:$M,8,FALSE)</f>
        <v>238000</v>
      </c>
      <c r="D7" s="251">
        <f t="shared" si="0"/>
        <v>0.1365798007656503</v>
      </c>
      <c r="G7" s="33"/>
      <c r="K7" s="9"/>
    </row>
    <row r="8" spans="1:11" ht="20.25" customHeight="1">
      <c r="A8" s="243">
        <v>3</v>
      </c>
      <c r="B8" s="257" t="str">
        <f>VLOOKUP($A8,BMrev!$C:$M,2,FALSE)</f>
        <v>convention</v>
      </c>
      <c r="C8" s="238">
        <f>VLOOKUP($A8,BMrev!$C:$M,8,FALSE)</f>
        <v>201500</v>
      </c>
      <c r="D8" s="251">
        <f t="shared" si="0"/>
        <v>0.11563373888352325</v>
      </c>
      <c r="G8" s="33"/>
      <c r="K8" s="9"/>
    </row>
    <row r="9" spans="1:11" ht="20.25" customHeight="1">
      <c r="A9" s="244">
        <v>4</v>
      </c>
      <c r="B9" s="257" t="str">
        <f>VLOOKUP($A9,BMrev!$C:$M,2,FALSE)</f>
        <v>local corporate 7</v>
      </c>
      <c r="C9" s="238">
        <f>VLOOKUP($A9,BMrev!$C:$M,8,FALSE)</f>
        <v>198250</v>
      </c>
      <c r="D9" s="251">
        <f t="shared" si="0"/>
        <v>0.1137686785789503</v>
      </c>
      <c r="G9" s="33"/>
      <c r="K9" s="9"/>
    </row>
    <row r="10" spans="1:11" ht="20.25" customHeight="1">
      <c r="A10" s="245">
        <v>5</v>
      </c>
      <c r="B10" s="258" t="str">
        <f>VLOOKUP($A10,BMrev!$C:$M,2,FALSE)</f>
        <v>local corporate 1</v>
      </c>
      <c r="C10" s="239">
        <f>VLOOKUP($A10,BMrev!$C:$M,8,FALSE)</f>
        <v>144875</v>
      </c>
      <c r="D10" s="252">
        <f t="shared" si="0"/>
        <v>0.08313864973077137</v>
      </c>
      <c r="G10" s="33"/>
      <c r="K10" s="9"/>
    </row>
    <row r="11" spans="1:11" ht="20.25" customHeight="1">
      <c r="A11" s="246"/>
      <c r="B11" s="236" t="s">
        <v>23</v>
      </c>
      <c r="C11" s="239">
        <f>BMrev!J23-SUM(C6:C10)</f>
        <v>629946</v>
      </c>
      <c r="D11" s="253">
        <f t="shared" si="0"/>
        <v>0.36150377803831235</v>
      </c>
      <c r="G11" s="33"/>
      <c r="K11" s="9"/>
    </row>
    <row r="12" spans="1:11" ht="20.25" customHeight="1">
      <c r="A12" s="235"/>
      <c r="B12" s="236" t="s">
        <v>24</v>
      </c>
      <c r="C12" s="240">
        <f>SUM(C6:C11)</f>
        <v>1742571</v>
      </c>
      <c r="D12" s="253">
        <f t="shared" si="0"/>
        <v>1</v>
      </c>
      <c r="G12" s="33"/>
      <c r="K12" s="9"/>
    </row>
    <row r="13" spans="1:11" s="5" customFormat="1" ht="18.75" customHeight="1">
      <c r="A13" s="247"/>
      <c r="B13" s="247"/>
      <c r="C13" s="248"/>
      <c r="D13" s="249"/>
      <c r="E13"/>
      <c r="F13"/>
      <c r="G13" s="33"/>
      <c r="H13"/>
      <c r="I13"/>
      <c r="J13"/>
      <c r="K13" s="9"/>
    </row>
    <row r="14" spans="1:11" ht="48" customHeight="1">
      <c r="A14" s="264"/>
      <c r="B14" s="254" t="s">
        <v>205</v>
      </c>
      <c r="C14" s="254" t="str">
        <f>BMrev!E7</f>
        <v>rooms sold</v>
      </c>
      <c r="D14" s="255" t="s">
        <v>25</v>
      </c>
      <c r="G14" s="33"/>
      <c r="K14" s="9"/>
    </row>
    <row r="15" spans="1:11" ht="20.25" customHeight="1">
      <c r="A15" s="259">
        <v>1</v>
      </c>
      <c r="B15" s="256" t="str">
        <f>VLOOKUP($A15,BMrev!$B:$M,3,FALSE)</f>
        <v>Specials</v>
      </c>
      <c r="C15" s="237">
        <f>VLOOKUP($A15,BMrev!$B:$M,4,FALSE)</f>
        <v>8560</v>
      </c>
      <c r="D15" s="250">
        <f aca="true" t="shared" si="1" ref="D15:D21">C15/C$21</f>
        <v>0.29611180296111805</v>
      </c>
      <c r="G15" s="33"/>
      <c r="K15" s="9"/>
    </row>
    <row r="16" spans="1:11" ht="20.25" customHeight="1">
      <c r="A16" s="261">
        <v>2</v>
      </c>
      <c r="B16" s="257" t="str">
        <f>VLOOKUP($A16,BMrev!$B:$M,3,FALSE)</f>
        <v>local corporate 5</v>
      </c>
      <c r="C16" s="238">
        <f>VLOOKUP($A16,BMrev!$B:$M,4,FALSE)</f>
        <v>4400</v>
      </c>
      <c r="D16" s="251">
        <f t="shared" si="1"/>
        <v>0.15220700152207</v>
      </c>
      <c r="G16" s="33"/>
      <c r="K16" s="9"/>
    </row>
    <row r="17" spans="1:11" ht="20.25" customHeight="1">
      <c r="A17" s="260">
        <v>3</v>
      </c>
      <c r="B17" s="257" t="str">
        <f>VLOOKUP($A17,BMrev!$B:$M,3,FALSE)</f>
        <v>local corporate 7</v>
      </c>
      <c r="C17" s="238">
        <f>VLOOKUP($A17,BMrev!$B:$M,4,FALSE)</f>
        <v>3050</v>
      </c>
      <c r="D17" s="251">
        <f t="shared" si="1"/>
        <v>0.10550712605507126</v>
      </c>
      <c r="G17" s="33"/>
      <c r="K17" s="9"/>
    </row>
    <row r="18" spans="1:11" ht="20.25" customHeight="1">
      <c r="A18" s="263">
        <v>4</v>
      </c>
      <c r="B18" s="257" t="str">
        <f>VLOOKUP($A18,BMrev!$B:$M,3,FALSE)</f>
        <v>local corporate 3</v>
      </c>
      <c r="C18" s="238">
        <f>VLOOKUP($A18,BMrev!$B:$M,4,FALSE)</f>
        <v>2800</v>
      </c>
      <c r="D18" s="251">
        <f t="shared" si="1"/>
        <v>0.09685900096859001</v>
      </c>
      <c r="G18" s="33"/>
      <c r="K18" s="9"/>
    </row>
    <row r="19" spans="1:11" ht="20.25" customHeight="1">
      <c r="A19" s="262">
        <v>5</v>
      </c>
      <c r="B19" s="258" t="str">
        <f>VLOOKUP($A19,BMrev!$B:$M,3,FALSE)</f>
        <v>Concerts</v>
      </c>
      <c r="C19" s="239">
        <f>VLOOKUP($A19,BMrev!$B:$M,4,FALSE)</f>
        <v>1570</v>
      </c>
      <c r="D19" s="252">
        <f t="shared" si="1"/>
        <v>0.054310225543102254</v>
      </c>
      <c r="G19" s="33"/>
      <c r="K19" s="9"/>
    </row>
    <row r="20" spans="1:11" ht="20.25" customHeight="1">
      <c r="A20" s="246"/>
      <c r="B20" s="236" t="s">
        <v>23</v>
      </c>
      <c r="C20" s="239">
        <f>BMrev!E23-SUM(C15:C19)</f>
        <v>8528</v>
      </c>
      <c r="D20" s="253">
        <f t="shared" si="1"/>
        <v>0.2950048429500484</v>
      </c>
      <c r="G20" s="33"/>
      <c r="K20" s="9"/>
    </row>
    <row r="21" spans="1:11" ht="20.25" customHeight="1">
      <c r="A21" s="235"/>
      <c r="B21" s="236" t="s">
        <v>24</v>
      </c>
      <c r="C21" s="240">
        <f>SUM(C15:C20)</f>
        <v>28908</v>
      </c>
      <c r="D21" s="253">
        <f t="shared" si="1"/>
        <v>1</v>
      </c>
      <c r="G21" s="33"/>
      <c r="K21" s="9"/>
    </row>
  </sheetData>
  <hyperlinks>
    <hyperlink ref="M1" location="Navigation!A1" display="=Navigation!$A$1"/>
  </hyperlinks>
  <printOptions/>
  <pageMargins left="1.1811023622047245" right="0.1968503937007874" top="0.7874015748031497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E13"/>
  <sheetViews>
    <sheetView showGridLines="0" zoomScale="85" zoomScaleNormal="85" workbookViewId="0" topLeftCell="A1">
      <selection activeCell="A8" sqref="A8"/>
    </sheetView>
  </sheetViews>
  <sheetFormatPr defaultColWidth="11.421875" defaultRowHeight="12.75"/>
  <cols>
    <col min="1" max="1" width="29.8515625" style="5" customWidth="1"/>
    <col min="2" max="2" width="15.28125" style="178" customWidth="1"/>
    <col min="3" max="3" width="3.00390625" style="178" customWidth="1"/>
    <col min="4" max="4" width="80.28125" style="5" customWidth="1"/>
    <col min="5" max="5" width="22.00390625" style="182" customWidth="1"/>
    <col min="6" max="16384" width="11.57421875" style="5" customWidth="1"/>
  </cols>
  <sheetData>
    <row r="1" spans="1:5" ht="30.75" thickBot="1">
      <c r="A1" s="205" t="s">
        <v>20</v>
      </c>
      <c r="B1" s="179"/>
      <c r="C1" s="180" t="s">
        <v>57</v>
      </c>
      <c r="D1" s="181"/>
      <c r="E1" s="310" t="s">
        <v>30</v>
      </c>
    </row>
    <row r="2" ht="13.5" thickBot="1"/>
    <row r="3" spans="1:5" ht="31.5" customHeight="1" thickBot="1">
      <c r="A3" s="183" t="s">
        <v>61</v>
      </c>
      <c r="B3" s="184" t="s">
        <v>60</v>
      </c>
      <c r="C3" s="184"/>
      <c r="D3" s="183" t="s">
        <v>59</v>
      </c>
      <c r="E3" s="185" t="s">
        <v>58</v>
      </c>
    </row>
    <row r="4" spans="1:5" ht="36.75" customHeight="1" thickBot="1">
      <c r="A4" s="186" t="s">
        <v>10</v>
      </c>
      <c r="B4" s="187" t="s">
        <v>11</v>
      </c>
      <c r="C4" s="188"/>
      <c r="D4" s="189" t="s">
        <v>64</v>
      </c>
      <c r="E4" s="190" t="s">
        <v>12</v>
      </c>
    </row>
    <row r="5" spans="1:5" ht="36.75" customHeight="1" thickBot="1">
      <c r="A5" s="186" t="s">
        <v>13</v>
      </c>
      <c r="B5" s="187" t="s">
        <v>62</v>
      </c>
      <c r="C5" s="191"/>
      <c r="D5" s="189" t="str">
        <f>DATA!A1</f>
        <v>DATA INPUT</v>
      </c>
      <c r="E5" s="190" t="s">
        <v>12</v>
      </c>
    </row>
    <row r="6" spans="1:5" ht="36.75" customHeight="1" thickBot="1">
      <c r="A6" s="186" t="s">
        <v>14</v>
      </c>
      <c r="B6" s="187" t="s">
        <v>62</v>
      </c>
      <c r="C6" s="191"/>
      <c r="D6" s="189" t="str">
        <f>BMcost!A1</f>
        <v>Variable costs per guest group    (Last Year)</v>
      </c>
      <c r="E6" s="190" t="s">
        <v>12</v>
      </c>
    </row>
    <row r="7" spans="1:5" ht="36.75" customHeight="1" thickBot="1">
      <c r="A7" s="186" t="s">
        <v>15</v>
      </c>
      <c r="B7" s="187" t="s">
        <v>62</v>
      </c>
      <c r="C7" s="191"/>
      <c r="D7" s="189" t="str">
        <f>BMrev!A1</f>
        <v>Revenue and Margin       (LAST YEAR)</v>
      </c>
      <c r="E7" s="190" t="s">
        <v>12</v>
      </c>
    </row>
    <row r="8" spans="1:5" ht="36.75" customHeight="1" thickBot="1">
      <c r="A8" s="186" t="s">
        <v>26</v>
      </c>
      <c r="B8" s="187" t="s">
        <v>63</v>
      </c>
      <c r="C8" s="191"/>
      <c r="D8" s="189" t="str">
        <f>BMg!A1</f>
        <v>TOP 5    Rooms sold and revenue     (LAST YEAR)</v>
      </c>
      <c r="E8" s="190" t="s">
        <v>12</v>
      </c>
    </row>
    <row r="9" spans="1:5" ht="36.75" customHeight="1" thickBot="1">
      <c r="A9" s="186" t="s">
        <v>16</v>
      </c>
      <c r="B9" s="187" t="s">
        <v>62</v>
      </c>
      <c r="C9" s="192"/>
      <c r="D9" s="193" t="str">
        <f>PC1!B22</f>
        <v>Direct Costing:  THE RULES</v>
      </c>
      <c r="E9" s="190" t="s">
        <v>12</v>
      </c>
    </row>
    <row r="10" spans="1:5" ht="36.75" customHeight="1" thickBot="1">
      <c r="A10" s="186" t="s">
        <v>17</v>
      </c>
      <c r="B10" s="187" t="s">
        <v>63</v>
      </c>
      <c r="C10" s="192"/>
      <c r="D10" s="193" t="s">
        <v>206</v>
      </c>
      <c r="E10" s="190" t="s">
        <v>12</v>
      </c>
    </row>
    <row r="11" spans="1:5" ht="36.75" customHeight="1" thickBot="1">
      <c r="A11" s="186" t="s">
        <v>18</v>
      </c>
      <c r="B11" s="187" t="s">
        <v>62</v>
      </c>
      <c r="C11" s="192"/>
      <c r="D11" s="193" t="s">
        <v>207</v>
      </c>
      <c r="E11" s="190" t="s">
        <v>12</v>
      </c>
    </row>
    <row r="12" spans="1:5" ht="36.75" customHeight="1" thickBot="1">
      <c r="A12" s="186" t="s">
        <v>19</v>
      </c>
      <c r="B12" s="187" t="s">
        <v>62</v>
      </c>
      <c r="C12" s="192"/>
      <c r="D12" s="193" t="s">
        <v>208</v>
      </c>
      <c r="E12" s="190" t="s">
        <v>12</v>
      </c>
    </row>
    <row r="13" spans="1:5" ht="36.75" customHeight="1" thickBot="1">
      <c r="A13" s="186" t="s">
        <v>27</v>
      </c>
      <c r="B13" s="187" t="s">
        <v>62</v>
      </c>
      <c r="C13" s="192"/>
      <c r="D13" s="193" t="str">
        <f>PC5!E6</f>
        <v>Average bottom price for the current year</v>
      </c>
      <c r="E13" s="190" t="s">
        <v>12</v>
      </c>
    </row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</sheetData>
  <hyperlinks>
    <hyperlink ref="E4" location="WELCOME!A1" display="&amp;"/>
    <hyperlink ref="E5" location="DATA!A1" display="&amp;"/>
    <hyperlink ref="E6" location="BMcost!A1" display="&amp;"/>
    <hyperlink ref="E7" location="BMrev!A1" display="&amp;"/>
    <hyperlink ref="E8" location="BMg!A1" display="&amp;"/>
    <hyperlink ref="E9" location="PC1!A1" display="&amp;"/>
    <hyperlink ref="E10" location="PC2!A1" display="&amp;"/>
    <hyperlink ref="E11" location="PC3!A1" display="&amp;"/>
    <hyperlink ref="E12" location="PC4!A1" display="&amp;"/>
    <hyperlink ref="E13" location="PC5!A1" display="&amp;"/>
  </hyperlinks>
  <printOptions horizontalCentered="1"/>
  <pageMargins left="0.7874015748031497" right="0.7874015748031497" top="0.3937007874015748" bottom="0" header="0.5118110236220472" footer="0.5118110236220472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L103"/>
  <sheetViews>
    <sheetView showGridLines="0" workbookViewId="0" topLeftCell="A75">
      <selection activeCell="C100" sqref="C100"/>
    </sheetView>
  </sheetViews>
  <sheetFormatPr defaultColWidth="11.421875" defaultRowHeight="12.75"/>
  <cols>
    <col min="1" max="1" width="17.8515625" style="0" customWidth="1"/>
    <col min="2" max="2" width="3.421875" style="0" customWidth="1"/>
    <col min="3" max="3" width="19.140625" style="0" customWidth="1"/>
    <col min="4" max="4" width="12.7109375" style="0" customWidth="1"/>
    <col min="6" max="6" width="12.00390625" style="0" customWidth="1"/>
    <col min="7" max="7" width="12.421875" style="0" customWidth="1"/>
    <col min="8" max="8" width="11.28125" style="0" customWidth="1"/>
    <col min="9" max="9" width="10.421875" style="0" customWidth="1"/>
    <col min="10" max="10" width="12.7109375" style="0" customWidth="1"/>
    <col min="11" max="11" width="2.140625" style="0" customWidth="1"/>
    <col min="12" max="12" width="4.421875" style="0" customWidth="1"/>
  </cols>
  <sheetData>
    <row r="1" spans="1:12" ht="24.75" thickBot="1">
      <c r="A1" s="86" t="s">
        <v>65</v>
      </c>
      <c r="B1" s="52"/>
      <c r="C1" s="52"/>
      <c r="D1" s="52"/>
      <c r="E1" s="52"/>
      <c r="F1" s="52"/>
      <c r="G1" s="52"/>
      <c r="H1" s="208" t="str">
        <f>Navigation!$A$1</f>
        <v>Nights in white satin</v>
      </c>
      <c r="I1" s="209"/>
      <c r="J1" s="209"/>
      <c r="K1" s="210"/>
      <c r="L1" s="52"/>
    </row>
    <row r="2" spans="1:12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">
      <c r="A3" s="151" t="s">
        <v>66</v>
      </c>
      <c r="B3" s="152"/>
      <c r="C3" s="152"/>
      <c r="D3" s="152"/>
      <c r="E3" s="152"/>
      <c r="F3" s="152"/>
      <c r="G3" s="152"/>
      <c r="H3" s="152"/>
      <c r="I3" s="52"/>
      <c r="J3" s="52"/>
      <c r="K3" s="52"/>
      <c r="L3" s="52"/>
    </row>
    <row r="4" spans="1:12" ht="15">
      <c r="A4" s="151" t="s">
        <v>67</v>
      </c>
      <c r="B4" s="152"/>
      <c r="C4" s="152"/>
      <c r="D4" s="152"/>
      <c r="E4" s="152"/>
      <c r="F4" s="152"/>
      <c r="G4" s="152"/>
      <c r="H4" s="152"/>
      <c r="I4" s="52"/>
      <c r="J4" s="52"/>
      <c r="K4" s="52"/>
      <c r="L4" s="52"/>
    </row>
    <row r="5" spans="1:12" ht="15">
      <c r="A5" s="151" t="s">
        <v>68</v>
      </c>
      <c r="B5" s="152"/>
      <c r="C5" s="152"/>
      <c r="D5" s="152"/>
      <c r="E5" s="152"/>
      <c r="F5" s="152"/>
      <c r="G5" s="152"/>
      <c r="H5" s="152"/>
      <c r="I5" s="52"/>
      <c r="J5" s="52"/>
      <c r="K5" s="52"/>
      <c r="L5" s="52"/>
    </row>
    <row r="6" spans="1:12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2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ht="12.7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10" spans="1:3" ht="12.75">
      <c r="A10" t="s">
        <v>0</v>
      </c>
      <c r="C10" s="4" t="s">
        <v>73</v>
      </c>
    </row>
    <row r="11" ht="12.75">
      <c r="C11" s="6"/>
    </row>
    <row r="12" spans="1:3" ht="12.75">
      <c r="A12" t="s">
        <v>69</v>
      </c>
      <c r="C12" s="4">
        <v>144</v>
      </c>
    </row>
    <row r="13" ht="12.75">
      <c r="C13" s="6"/>
    </row>
    <row r="14" spans="1:5" ht="12.75">
      <c r="A14" t="s">
        <v>70</v>
      </c>
      <c r="C14" s="7">
        <v>39083</v>
      </c>
      <c r="D14" s="1">
        <f>YEAR(C14)</f>
        <v>2007</v>
      </c>
      <c r="E14" s="1">
        <f>MOD(D14,4)</f>
        <v>3</v>
      </c>
    </row>
    <row r="15" ht="12.75">
      <c r="C15" s="6"/>
    </row>
    <row r="16" spans="1:3" ht="12.75">
      <c r="A16" t="s">
        <v>71</v>
      </c>
      <c r="C16" s="4" t="s">
        <v>74</v>
      </c>
    </row>
    <row r="17" ht="12.75">
      <c r="C17" s="6"/>
    </row>
    <row r="18" spans="1:3" ht="12.75">
      <c r="A18" t="s">
        <v>72</v>
      </c>
      <c r="C18" s="3"/>
    </row>
    <row r="22" spans="1:12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2.75">
      <c r="A23" s="53" t="s">
        <v>75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12.75">
      <c r="A24" s="53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53" t="s">
        <v>76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ht="12.75">
      <c r="A26" s="53" t="s">
        <v>77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ht="12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9" spans="4:6" ht="12.75">
      <c r="D29" t="s">
        <v>78</v>
      </c>
      <c r="F29" s="6" t="s">
        <v>79</v>
      </c>
    </row>
    <row r="30" spans="4:8" ht="15.75">
      <c r="D30" s="29">
        <f>D14-1</f>
        <v>2006</v>
      </c>
      <c r="F30" s="29">
        <f>D14</f>
        <v>2007</v>
      </c>
      <c r="H30" s="1" t="s">
        <v>80</v>
      </c>
    </row>
    <row r="31" ht="15">
      <c r="A31" s="9"/>
    </row>
    <row r="32" spans="1:8" ht="12.75">
      <c r="A32" t="s">
        <v>81</v>
      </c>
      <c r="D32" s="10">
        <v>28908</v>
      </c>
      <c r="F32" s="10">
        <v>30000</v>
      </c>
      <c r="H32" s="228">
        <f>(F32-D32)/D32</f>
        <v>0.03777501037775011</v>
      </c>
    </row>
    <row r="33" spans="1:8" ht="12.75">
      <c r="A33" t="s">
        <v>82</v>
      </c>
      <c r="D33" s="10">
        <v>38255</v>
      </c>
      <c r="F33" s="10">
        <v>40000</v>
      </c>
      <c r="H33" s="228">
        <f>(F33-D33)/D33</f>
        <v>0.045614952293817804</v>
      </c>
    </row>
    <row r="34" spans="1:6" ht="12.75">
      <c r="A34" t="s">
        <v>83</v>
      </c>
      <c r="D34" s="26">
        <f>D33/D32</f>
        <v>1.323336100733361</v>
      </c>
      <c r="F34" s="26">
        <f>F33/F32</f>
        <v>1.3333333333333333</v>
      </c>
    </row>
    <row r="35" ht="13.5" customHeight="1"/>
    <row r="36" ht="13.5" customHeight="1"/>
    <row r="37" spans="1:8" ht="13.5" customHeight="1">
      <c r="A37" t="s">
        <v>84</v>
      </c>
      <c r="D37" s="10">
        <v>1778974</v>
      </c>
      <c r="F37" s="10">
        <v>1900000</v>
      </c>
      <c r="H37" s="228">
        <f>(F37-D37)/D37</f>
        <v>0.06803134840644101</v>
      </c>
    </row>
    <row r="38" ht="13.5" customHeight="1"/>
    <row r="39" spans="1:8" ht="13.5" customHeight="1">
      <c r="A39" t="s">
        <v>85</v>
      </c>
      <c r="D39" s="10">
        <v>1344764</v>
      </c>
      <c r="F39" s="10">
        <v>1450000</v>
      </c>
      <c r="H39" s="228">
        <f>(F39-D39)/D39</f>
        <v>0.07825611036583371</v>
      </c>
    </row>
    <row r="40" ht="13.5" customHeight="1"/>
    <row r="41" spans="1:8" ht="13.5" customHeight="1">
      <c r="A41" t="s">
        <v>86</v>
      </c>
      <c r="D41" s="11">
        <f>D37-D39</f>
        <v>434210</v>
      </c>
      <c r="F41" s="11">
        <f>F37-F39</f>
        <v>450000</v>
      </c>
      <c r="H41" s="228">
        <f>(F41-D41)/D41</f>
        <v>0.03636489256350614</v>
      </c>
    </row>
    <row r="42" spans="4:8" ht="13.5" customHeight="1">
      <c r="D42" s="229"/>
      <c r="F42" s="229"/>
      <c r="H42" s="230"/>
    </row>
    <row r="43" spans="1:8" ht="13.5" customHeight="1">
      <c r="A43" s="5" t="s">
        <v>87</v>
      </c>
      <c r="D43" s="229"/>
      <c r="F43" s="229"/>
      <c r="H43" s="230"/>
    </row>
    <row r="44" spans="1:8" ht="13.5" customHeight="1">
      <c r="A44" t="s">
        <v>88</v>
      </c>
      <c r="D44" s="228">
        <f>D32/IF($E14=1,$C12*366,$C12*365)</f>
        <v>0.55</v>
      </c>
      <c r="F44" s="228">
        <f>F32/IF($E14=1,$C12*366,$C12*365)</f>
        <v>0.5707762557077626</v>
      </c>
      <c r="H44" s="228">
        <f>(F44-D44)/D44</f>
        <v>0.037775010377750065</v>
      </c>
    </row>
    <row r="45" spans="1:8" ht="13.5" customHeight="1">
      <c r="A45" t="s">
        <v>89</v>
      </c>
      <c r="D45" s="231">
        <f>IF(D32=0,0,D37/D32)</f>
        <v>61.53915871039159</v>
      </c>
      <c r="F45" s="231">
        <f>IF(F32=0,0,F37/F32)</f>
        <v>63.333333333333336</v>
      </c>
      <c r="H45" s="228">
        <f>(F45-D45)/D45</f>
        <v>0.02915500732444656</v>
      </c>
    </row>
    <row r="46" ht="13.5" customHeight="1"/>
    <row r="47" spans="1:12" ht="12.75">
      <c r="A47" s="53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53" t="s">
        <v>90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2.75">
      <c r="A49" s="53" t="s">
        <v>91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 ht="12.75">
      <c r="A50" s="53" t="s">
        <v>92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ht="12.75">
      <c r="A51" s="53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4:6" ht="33" customHeight="1">
      <c r="D52" s="5"/>
      <c r="F52" s="5"/>
    </row>
    <row r="53" spans="4:6" ht="33" customHeight="1">
      <c r="D53" s="5"/>
      <c r="F53" s="5"/>
    </row>
    <row r="54" spans="1:7" ht="27" customHeight="1">
      <c r="A54" t="s">
        <v>70</v>
      </c>
      <c r="C54" s="29">
        <f>D30</f>
        <v>2006</v>
      </c>
      <c r="D54" s="56" t="s">
        <v>93</v>
      </c>
      <c r="E54" s="313" t="s">
        <v>95</v>
      </c>
      <c r="F54" s="314"/>
      <c r="G54" s="315"/>
    </row>
    <row r="55" spans="4:10" ht="38.25">
      <c r="D55" s="57" t="s">
        <v>94</v>
      </c>
      <c r="E55" s="59" t="s">
        <v>96</v>
      </c>
      <c r="F55" s="15" t="s">
        <v>97</v>
      </c>
      <c r="G55" s="15" t="s">
        <v>104</v>
      </c>
      <c r="H55" s="15" t="s">
        <v>105</v>
      </c>
      <c r="I55" s="15" t="s">
        <v>106</v>
      </c>
      <c r="J55" s="15" t="s">
        <v>107</v>
      </c>
    </row>
    <row r="56" spans="1:10" ht="12.75">
      <c r="A56" s="155" t="s">
        <v>98</v>
      </c>
      <c r="B56" s="156"/>
      <c r="C56" s="157"/>
      <c r="D56" s="58">
        <v>4.85</v>
      </c>
      <c r="E56" s="60"/>
      <c r="F56" s="12"/>
      <c r="G56" s="13">
        <f>IF(D56&gt;0,D56,E56*F56/D$32)</f>
        <v>4.85</v>
      </c>
      <c r="H56" s="13">
        <f>G56</f>
        <v>4.85</v>
      </c>
      <c r="I56" s="13">
        <f>G56</f>
        <v>4.85</v>
      </c>
      <c r="J56" s="120">
        <f>IF(E56&gt;0,E56*F56,D56*D$32)</f>
        <v>140203.8</v>
      </c>
    </row>
    <row r="57" spans="1:10" ht="12.75">
      <c r="A57" s="155" t="s">
        <v>99</v>
      </c>
      <c r="B57" s="156"/>
      <c r="C57" s="157"/>
      <c r="D57" s="58"/>
      <c r="E57" s="60">
        <v>98500</v>
      </c>
      <c r="F57" s="12">
        <v>0.8</v>
      </c>
      <c r="G57" s="13">
        <f>IF(D57&gt;0,D57,E57*F57/D$32)</f>
        <v>2.7258890272588903</v>
      </c>
      <c r="H57" s="13">
        <f>G57/D$34</f>
        <v>2.059861456018821</v>
      </c>
      <c r="I57" s="13">
        <f>H57*2</f>
        <v>4.119722912037642</v>
      </c>
      <c r="J57" s="120">
        <f>IF(E57&gt;0,E57*F57,D57*D$32)</f>
        <v>78800</v>
      </c>
    </row>
    <row r="58" spans="1:10" ht="12.75">
      <c r="A58" s="155" t="s">
        <v>100</v>
      </c>
      <c r="B58" s="156"/>
      <c r="C58" s="157"/>
      <c r="D58" s="58"/>
      <c r="E58" s="60">
        <v>15000</v>
      </c>
      <c r="F58" s="12">
        <v>1</v>
      </c>
      <c r="G58" s="13">
        <f>IF(D58&gt;0,D58,E58*F58/D$32)</f>
        <v>0.518887505188875</v>
      </c>
      <c r="H58" s="13">
        <f>G58/D$34</f>
        <v>0.39210560711018166</v>
      </c>
      <c r="I58" s="13">
        <f>H58*2</f>
        <v>0.7842112142203633</v>
      </c>
      <c r="J58" s="120">
        <f>IF(E58&gt;0,E58*F58,D58*D$32)</f>
        <v>15000</v>
      </c>
    </row>
    <row r="59" spans="1:10" ht="12.75">
      <c r="A59" s="155" t="s">
        <v>101</v>
      </c>
      <c r="B59" s="156"/>
      <c r="C59" s="157"/>
      <c r="D59" s="58"/>
      <c r="E59" s="60">
        <v>135000</v>
      </c>
      <c r="F59" s="12">
        <v>0.7</v>
      </c>
      <c r="G59" s="13">
        <f>IF(D59&gt;0,D59,E59*F59/D$32)</f>
        <v>3.268991282689913</v>
      </c>
      <c r="H59" s="13">
        <f>G59/D$34</f>
        <v>2.4702653247941444</v>
      </c>
      <c r="I59" s="13">
        <f>H59*2</f>
        <v>4.940530649588289</v>
      </c>
      <c r="J59" s="120">
        <f>IF(E59&gt;0,E59*F59,D59*D$32)</f>
        <v>94500</v>
      </c>
    </row>
    <row r="60" spans="1:10" ht="12.75">
      <c r="A60" s="155" t="s">
        <v>102</v>
      </c>
      <c r="B60" s="156"/>
      <c r="C60" s="157"/>
      <c r="D60" s="58"/>
      <c r="E60" s="60">
        <v>98586</v>
      </c>
      <c r="F60" s="12">
        <v>1</v>
      </c>
      <c r="G60" s="13">
        <f>IF(D60&gt;0,D60,E60*F60/D$32)</f>
        <v>3.4103362391033625</v>
      </c>
      <c r="H60" s="13">
        <f>G60/D$34</f>
        <v>2.577074892170958</v>
      </c>
      <c r="I60" s="13">
        <f>H60*2</f>
        <v>5.154149784341916</v>
      </c>
      <c r="J60" s="120">
        <f>IF(E60&gt;0,E60*F60,D60*D$32)</f>
        <v>98586</v>
      </c>
    </row>
    <row r="61" spans="7:10" ht="12.75">
      <c r="G61" s="14">
        <f>SUM(G56:G60)</f>
        <v>14.77410405424104</v>
      </c>
      <c r="H61" s="14">
        <f>SUM(H56:H60)</f>
        <v>12.349307280094106</v>
      </c>
      <c r="I61" s="14">
        <f>SUM(I56:I60)</f>
        <v>19.84861456018821</v>
      </c>
      <c r="J61" s="39">
        <f>SUM(J56:J60)</f>
        <v>427089.8</v>
      </c>
    </row>
    <row r="62" spans="7:9" ht="15.75">
      <c r="G62" s="121" t="s">
        <v>5</v>
      </c>
      <c r="H62" s="121" t="s">
        <v>5</v>
      </c>
      <c r="I62" s="121" t="s">
        <v>5</v>
      </c>
    </row>
    <row r="63" spans="7:9" ht="15.75">
      <c r="G63" s="232"/>
      <c r="H63" s="232"/>
      <c r="I63" s="232"/>
    </row>
    <row r="64" spans="1:9" ht="15.75">
      <c r="A64" t="s">
        <v>103</v>
      </c>
      <c r="E64" s="29">
        <f>D14</f>
        <v>2007</v>
      </c>
      <c r="G64" s="232"/>
      <c r="H64" s="232"/>
      <c r="I64" s="232"/>
    </row>
    <row r="65" spans="7:10" ht="25.5">
      <c r="G65" s="15" t="str">
        <f>G55</f>
        <v>per room and night</v>
      </c>
      <c r="H65" s="15" t="str">
        <f>H55</f>
        <v>1 person</v>
      </c>
      <c r="I65" s="15" t="str">
        <f>I55</f>
        <v>2 persons</v>
      </c>
      <c r="J65" s="15" t="str">
        <f>J55</f>
        <v>total variable costs</v>
      </c>
    </row>
    <row r="66" spans="1:10" ht="12.75">
      <c r="A66" s="155" t="str">
        <f>A56</f>
        <v>Room cleaning</v>
      </c>
      <c r="B66" s="156"/>
      <c r="C66" s="157"/>
      <c r="D66" s="233">
        <v>0.03</v>
      </c>
      <c r="G66" s="13">
        <f aca="true" t="shared" si="0" ref="G66:I70">G56*(1+$D66)</f>
        <v>4.9955</v>
      </c>
      <c r="H66" s="13">
        <f t="shared" si="0"/>
        <v>4.9955</v>
      </c>
      <c r="I66" s="13">
        <f t="shared" si="0"/>
        <v>4.9955</v>
      </c>
      <c r="J66" s="120">
        <f>J56*(1+D66)</f>
        <v>144409.914</v>
      </c>
    </row>
    <row r="67" spans="1:10" ht="12.75">
      <c r="A67" s="155" t="str">
        <f>A57</f>
        <v>Laundry</v>
      </c>
      <c r="B67" s="156"/>
      <c r="C67" s="157"/>
      <c r="D67" s="233">
        <v>0.05</v>
      </c>
      <c r="G67" s="13">
        <f t="shared" si="0"/>
        <v>2.862183478621835</v>
      </c>
      <c r="H67" s="13">
        <f t="shared" si="0"/>
        <v>2.162854528819762</v>
      </c>
      <c r="I67" s="13">
        <f t="shared" si="0"/>
        <v>4.325709057639524</v>
      </c>
      <c r="J67" s="120">
        <f>J57*(1+D67)</f>
        <v>82740</v>
      </c>
    </row>
    <row r="68" spans="1:10" ht="12.75">
      <c r="A68" s="155" t="str">
        <f>A58</f>
        <v>Replacement provision</v>
      </c>
      <c r="B68" s="156"/>
      <c r="C68" s="157"/>
      <c r="D68" s="233">
        <v>0</v>
      </c>
      <c r="G68" s="13">
        <f t="shared" si="0"/>
        <v>0.518887505188875</v>
      </c>
      <c r="H68" s="13">
        <f t="shared" si="0"/>
        <v>0.39210560711018166</v>
      </c>
      <c r="I68" s="13">
        <f t="shared" si="0"/>
        <v>0.7842112142203633</v>
      </c>
      <c r="J68" s="120">
        <f>J58*(1+D68)</f>
        <v>15000</v>
      </c>
    </row>
    <row r="69" spans="1:10" ht="12.75">
      <c r="A69" s="155" t="str">
        <f>A59</f>
        <v>Utilities</v>
      </c>
      <c r="B69" s="156"/>
      <c r="C69" s="157"/>
      <c r="D69" s="233">
        <v>0.1</v>
      </c>
      <c r="G69" s="13">
        <f t="shared" si="0"/>
        <v>3.5958904109589045</v>
      </c>
      <c r="H69" s="13">
        <f t="shared" si="0"/>
        <v>2.717291857273559</v>
      </c>
      <c r="I69" s="13">
        <f t="shared" si="0"/>
        <v>5.434583714547118</v>
      </c>
      <c r="J69" s="120">
        <f>J59*(1+D69)</f>
        <v>103950.00000000001</v>
      </c>
    </row>
    <row r="70" spans="1:10" ht="12.75">
      <c r="A70" s="155" t="str">
        <f>A60</f>
        <v>Supplies</v>
      </c>
      <c r="B70" s="156"/>
      <c r="C70" s="157"/>
      <c r="D70" s="233">
        <v>0.03</v>
      </c>
      <c r="G70" s="13">
        <f t="shared" si="0"/>
        <v>3.5126463262764633</v>
      </c>
      <c r="H70" s="13">
        <f t="shared" si="0"/>
        <v>2.654387138936087</v>
      </c>
      <c r="I70" s="13">
        <f t="shared" si="0"/>
        <v>5.308774277872174</v>
      </c>
      <c r="J70" s="120">
        <f>J60*(1+D70)</f>
        <v>101543.58</v>
      </c>
    </row>
    <row r="71" spans="7:10" ht="12.75">
      <c r="G71" s="14">
        <f>SUM(G66:G70)</f>
        <v>15.485107721046079</v>
      </c>
      <c r="H71" s="14">
        <f>SUM(H66:H70)</f>
        <v>12.922139132139591</v>
      </c>
      <c r="I71" s="14">
        <f>SUM(I66:I70)</f>
        <v>20.84877826427918</v>
      </c>
      <c r="J71" s="39">
        <f>SUM(J66:J70)</f>
        <v>447643.494</v>
      </c>
    </row>
    <row r="72" spans="7:9" ht="15.75">
      <c r="G72" s="121" t="s">
        <v>5</v>
      </c>
      <c r="H72" s="121" t="s">
        <v>5</v>
      </c>
      <c r="I72" s="121" t="s">
        <v>5</v>
      </c>
    </row>
    <row r="74" spans="1:12" ht="12.75">
      <c r="A74" s="53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</row>
    <row r="75" spans="1:12" ht="12.75">
      <c r="A75" s="53" t="s">
        <v>108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12" ht="12.75">
      <c r="A76" s="53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12" ht="12.75">
      <c r="A77" s="53" t="s">
        <v>109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1:12" ht="12.75">
      <c r="A78" s="53" t="s">
        <v>110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1:12" ht="12.75">
      <c r="A79" s="53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</row>
    <row r="82" spans="1:3" ht="15.75">
      <c r="A82" s="9" t="s">
        <v>1</v>
      </c>
      <c r="B82" s="5"/>
      <c r="C82" s="30">
        <f>D30</f>
        <v>2006</v>
      </c>
    </row>
    <row r="83" spans="1:2" ht="12.75">
      <c r="A83" s="5"/>
      <c r="B83" s="5"/>
    </row>
    <row r="84" spans="3:7" ht="38.25">
      <c r="C84" s="15" t="s">
        <v>111</v>
      </c>
      <c r="D84" s="15" t="s">
        <v>112</v>
      </c>
      <c r="E84" s="15" t="s">
        <v>113</v>
      </c>
      <c r="F84" s="15" t="s">
        <v>114</v>
      </c>
      <c r="G84" s="15" t="s">
        <v>115</v>
      </c>
    </row>
    <row r="85" spans="1:7" ht="12.75">
      <c r="A85">
        <v>1</v>
      </c>
      <c r="C85" s="2" t="s">
        <v>189</v>
      </c>
      <c r="D85" s="103">
        <f>E85/F85</f>
        <v>1</v>
      </c>
      <c r="E85" s="46">
        <v>1525</v>
      </c>
      <c r="F85" s="46">
        <v>1525</v>
      </c>
      <c r="G85" s="8">
        <v>95</v>
      </c>
    </row>
    <row r="86" spans="1:7" ht="12.75">
      <c r="A86">
        <v>2</v>
      </c>
      <c r="C86" s="2" t="s">
        <v>190</v>
      </c>
      <c r="D86" s="103">
        <f aca="true" t="shared" si="1" ref="D86:D99">E86/F86</f>
        <v>1</v>
      </c>
      <c r="E86" s="46">
        <v>1500</v>
      </c>
      <c r="F86" s="46">
        <v>1500</v>
      </c>
      <c r="G86" s="8">
        <v>90</v>
      </c>
    </row>
    <row r="87" spans="1:7" ht="12.75">
      <c r="A87">
        <v>3</v>
      </c>
      <c r="C87" s="2" t="s">
        <v>191</v>
      </c>
      <c r="D87" s="103">
        <f t="shared" si="1"/>
        <v>1</v>
      </c>
      <c r="E87" s="46">
        <v>2800</v>
      </c>
      <c r="F87" s="46">
        <v>2800</v>
      </c>
      <c r="G87" s="8">
        <v>85</v>
      </c>
    </row>
    <row r="88" spans="1:7" ht="12.75">
      <c r="A88">
        <v>4</v>
      </c>
      <c r="C88" s="2" t="s">
        <v>192</v>
      </c>
      <c r="D88" s="103">
        <f t="shared" si="1"/>
        <v>1</v>
      </c>
      <c r="E88" s="46">
        <v>1500</v>
      </c>
      <c r="F88" s="46">
        <v>1500</v>
      </c>
      <c r="G88" s="8">
        <v>80</v>
      </c>
    </row>
    <row r="89" spans="1:7" ht="12.75">
      <c r="A89">
        <v>5</v>
      </c>
      <c r="C89" s="2" t="s">
        <v>193</v>
      </c>
      <c r="D89" s="103">
        <f t="shared" si="1"/>
        <v>1</v>
      </c>
      <c r="E89" s="46">
        <v>4400</v>
      </c>
      <c r="F89" s="46">
        <v>4400</v>
      </c>
      <c r="G89" s="8">
        <v>75</v>
      </c>
    </row>
    <row r="90" spans="1:7" ht="12.75">
      <c r="A90">
        <v>6</v>
      </c>
      <c r="C90" s="2" t="s">
        <v>194</v>
      </c>
      <c r="D90" s="103">
        <f t="shared" si="1"/>
        <v>1</v>
      </c>
      <c r="E90" s="46">
        <v>780</v>
      </c>
      <c r="F90" s="46">
        <v>780</v>
      </c>
      <c r="G90" s="8">
        <v>70</v>
      </c>
    </row>
    <row r="91" spans="1:7" ht="12.75">
      <c r="A91">
        <v>7</v>
      </c>
      <c r="C91" s="2" t="s">
        <v>195</v>
      </c>
      <c r="D91" s="103">
        <f t="shared" si="1"/>
        <v>1</v>
      </c>
      <c r="E91" s="46">
        <v>3050</v>
      </c>
      <c r="F91" s="46">
        <v>3050</v>
      </c>
      <c r="G91" s="8">
        <v>65</v>
      </c>
    </row>
    <row r="92" spans="1:7" ht="12.75">
      <c r="A92">
        <v>8</v>
      </c>
      <c r="C92" s="2" t="s">
        <v>196</v>
      </c>
      <c r="D92" s="103">
        <f t="shared" si="1"/>
        <v>1</v>
      </c>
      <c r="E92" s="46">
        <v>500</v>
      </c>
      <c r="F92" s="46">
        <v>500</v>
      </c>
      <c r="G92" s="8">
        <v>63</v>
      </c>
    </row>
    <row r="93" spans="1:7" ht="12.75">
      <c r="A93">
        <v>9</v>
      </c>
      <c r="C93" s="2" t="s">
        <v>197</v>
      </c>
      <c r="D93" s="103">
        <f t="shared" si="1"/>
        <v>1</v>
      </c>
      <c r="E93" s="46">
        <v>850</v>
      </c>
      <c r="F93" s="46">
        <v>850</v>
      </c>
      <c r="G93" s="8">
        <v>60</v>
      </c>
    </row>
    <row r="94" spans="1:7" ht="12.75">
      <c r="A94">
        <v>10</v>
      </c>
      <c r="C94" s="2" t="s">
        <v>198</v>
      </c>
      <c r="D94" s="103">
        <f t="shared" si="1"/>
        <v>1</v>
      </c>
      <c r="E94" s="46">
        <v>1300</v>
      </c>
      <c r="F94" s="46">
        <v>1300</v>
      </c>
      <c r="G94" s="8">
        <v>155</v>
      </c>
    </row>
    <row r="95" spans="1:7" ht="12.75">
      <c r="A95">
        <v>11</v>
      </c>
      <c r="C95" s="2" t="s">
        <v>2</v>
      </c>
      <c r="D95" s="103">
        <f t="shared" si="1"/>
        <v>1.625</v>
      </c>
      <c r="E95" s="46">
        <v>130</v>
      </c>
      <c r="F95" s="46">
        <v>80</v>
      </c>
      <c r="G95" s="8">
        <v>90</v>
      </c>
    </row>
    <row r="96" spans="1:7" ht="12.75">
      <c r="A96">
        <v>12</v>
      </c>
      <c r="C96" s="2" t="s">
        <v>199</v>
      </c>
      <c r="D96" s="103">
        <f t="shared" si="1"/>
        <v>2.044392523364486</v>
      </c>
      <c r="E96" s="46">
        <v>17500</v>
      </c>
      <c r="F96" s="46">
        <v>8560</v>
      </c>
      <c r="G96" s="8">
        <v>10</v>
      </c>
    </row>
    <row r="97" spans="1:7" ht="12.75">
      <c r="A97">
        <v>13</v>
      </c>
      <c r="C97" s="2" t="s">
        <v>200</v>
      </c>
      <c r="D97" s="103">
        <f t="shared" si="1"/>
        <v>1.8481012658227849</v>
      </c>
      <c r="E97" s="46">
        <v>730</v>
      </c>
      <c r="F97" s="46">
        <v>395</v>
      </c>
      <c r="G97" s="8">
        <v>50</v>
      </c>
    </row>
    <row r="98" spans="1:7" ht="12.75">
      <c r="A98">
        <v>14</v>
      </c>
      <c r="C98" s="2" t="s">
        <v>201</v>
      </c>
      <c r="D98" s="103">
        <f t="shared" si="1"/>
        <v>0.9681528662420382</v>
      </c>
      <c r="E98" s="46">
        <v>1520</v>
      </c>
      <c r="F98" s="46">
        <v>1570</v>
      </c>
      <c r="G98" s="8">
        <v>75</v>
      </c>
    </row>
    <row r="99" spans="1:7" ht="12.75">
      <c r="A99">
        <v>15</v>
      </c>
      <c r="C99" s="2" t="s">
        <v>202</v>
      </c>
      <c r="D99" s="103">
        <f t="shared" si="1"/>
        <v>1.7346938775510203</v>
      </c>
      <c r="E99" s="46">
        <v>170</v>
      </c>
      <c r="F99" s="46">
        <v>98</v>
      </c>
      <c r="G99" s="8">
        <v>77</v>
      </c>
    </row>
    <row r="100" spans="5:6" ht="12.75">
      <c r="E100" s="61">
        <f>SUM(E85:E99)</f>
        <v>38255</v>
      </c>
      <c r="F100" s="61">
        <f>SUM(F85:F99)</f>
        <v>28908</v>
      </c>
    </row>
    <row r="101" spans="5:7" ht="12.75">
      <c r="E101" s="61" t="str">
        <f>IF(E100-D33=0,"ok","Error!")</f>
        <v>ok</v>
      </c>
      <c r="F101" s="61" t="str">
        <f>IF(F100-D32=0,"ok","Error!")</f>
        <v>ok</v>
      </c>
      <c r="G101" s="63" t="s">
        <v>116</v>
      </c>
    </row>
    <row r="103" spans="1:12" ht="12.75">
      <c r="A103" s="53" t="s">
        <v>117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</row>
  </sheetData>
  <mergeCells count="1">
    <mergeCell ref="E54:G54"/>
  </mergeCells>
  <conditionalFormatting sqref="E101:F101">
    <cfRule type="cellIs" priority="1" dxfId="0" operator="equal" stopIfTrue="1">
      <formula>"ok"</formula>
    </cfRule>
    <cfRule type="cellIs" priority="2" dxfId="1" operator="equal" stopIfTrue="1">
      <formula>"Error!"</formula>
    </cfRule>
  </conditionalFormatting>
  <hyperlinks>
    <hyperlink ref="H1" location="Navigation!A1" display="=Navigation!$A$1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="95" zoomScaleNormal="95" workbookViewId="0" topLeftCell="A1">
      <selection activeCell="K24" sqref="K24"/>
    </sheetView>
  </sheetViews>
  <sheetFormatPr defaultColWidth="11.421875" defaultRowHeight="12.75"/>
  <cols>
    <col min="1" max="1" width="2.00390625" style="5" customWidth="1"/>
    <col min="2" max="2" width="3.57421875" style="5" customWidth="1"/>
    <col min="3" max="3" width="22.140625" style="5" customWidth="1"/>
    <col min="4" max="4" width="9.57421875" style="5" customWidth="1"/>
    <col min="5" max="5" width="14.7109375" style="5" customWidth="1"/>
    <col min="6" max="6" width="16.00390625" style="5" customWidth="1"/>
    <col min="7" max="7" width="15.7109375" style="5" customWidth="1"/>
    <col min="8" max="8" width="15.57421875" style="5" customWidth="1"/>
    <col min="9" max="9" width="10.421875" style="5" customWidth="1"/>
    <col min="10" max="10" width="3.8515625" style="5" customWidth="1"/>
    <col min="11" max="11" width="20.140625" style="5" customWidth="1"/>
    <col min="12" max="12" width="10.7109375" style="5" customWidth="1"/>
    <col min="13" max="16384" width="11.421875" style="5" customWidth="1"/>
  </cols>
  <sheetData>
    <row r="1" spans="11:12" ht="24.75" thickBot="1">
      <c r="K1" s="212" t="str">
        <f>Navigation!$A$1</f>
        <v>Nights in white satin</v>
      </c>
      <c r="L1" s="207"/>
    </row>
    <row r="4" spans="7:9" ht="14.25">
      <c r="G4" s="225" t="str">
        <f>DATA!A10</f>
        <v>Hotel:</v>
      </c>
      <c r="I4" s="226" t="str">
        <f>DATA!C10</f>
        <v>Amaryllis</v>
      </c>
    </row>
    <row r="5" spans="7:9" ht="6" customHeight="1">
      <c r="G5" s="225"/>
      <c r="I5" s="227"/>
    </row>
    <row r="6" spans="7:9" ht="14.25">
      <c r="G6" s="225" t="str">
        <f>DATA!A14</f>
        <v>Year:</v>
      </c>
      <c r="I6" s="226">
        <f>DATA!D30</f>
        <v>2006</v>
      </c>
    </row>
    <row r="7" spans="5:6" ht="12.75">
      <c r="E7" s="40" t="s">
        <v>118</v>
      </c>
      <c r="F7" s="64">
        <f>DATA!D39</f>
        <v>1344764</v>
      </c>
    </row>
    <row r="8" spans="2:6" s="31" customFormat="1" ht="12.75">
      <c r="B8" s="5"/>
      <c r="E8" s="68" t="s">
        <v>119</v>
      </c>
      <c r="F8" s="70"/>
    </row>
    <row r="9" spans="5:6" ht="12.75">
      <c r="E9" s="40" t="s">
        <v>114</v>
      </c>
      <c r="F9" s="41">
        <f>DATA!D32</f>
        <v>28908</v>
      </c>
    </row>
    <row r="10" spans="2:6" s="31" customFormat="1" ht="12.75">
      <c r="B10" s="5"/>
      <c r="E10" s="68" t="s">
        <v>120</v>
      </c>
      <c r="F10" s="69"/>
    </row>
    <row r="11" spans="5:6" ht="12.75">
      <c r="E11" s="40" t="s">
        <v>121</v>
      </c>
      <c r="F11" s="42">
        <f>F7/F9</f>
        <v>46.51874913518749</v>
      </c>
    </row>
    <row r="12" ht="12.75">
      <c r="E12" s="40"/>
    </row>
    <row r="15" spans="3:6" ht="26.25" customHeight="1">
      <c r="C15" s="40" t="s">
        <v>122</v>
      </c>
      <c r="F15" s="40" t="s">
        <v>125</v>
      </c>
    </row>
    <row r="16" spans="3:7" ht="12.75">
      <c r="C16" s="40" t="s">
        <v>123</v>
      </c>
      <c r="D16" s="43">
        <f>DATA!G61</f>
        <v>14.77410405424104</v>
      </c>
      <c r="F16" s="40" t="str">
        <f>C16</f>
        <v>variable costs</v>
      </c>
      <c r="G16" s="64">
        <f>D16*F$9</f>
        <v>427089.8</v>
      </c>
    </row>
    <row r="17" spans="3:7" ht="12.75">
      <c r="C17" s="49" t="s">
        <v>124</v>
      </c>
      <c r="D17" s="48">
        <f>F11-D16</f>
        <v>31.74464508094645</v>
      </c>
      <c r="F17" s="49" t="str">
        <f>C17</f>
        <v>fixed costs</v>
      </c>
      <c r="G17" s="79">
        <f>D17*F$9</f>
        <v>917674.2000000001</v>
      </c>
    </row>
    <row r="18" ht="12.75">
      <c r="B18" s="40"/>
    </row>
    <row r="19" spans="3:7" s="96" customFormat="1" ht="12.75">
      <c r="C19" s="40" t="str">
        <f>E11</f>
        <v>cost per roomnight</v>
      </c>
      <c r="D19" s="97">
        <f>SUM(D16:D18)</f>
        <v>46.51874913518749</v>
      </c>
      <c r="F19" s="40" t="str">
        <f>E7</f>
        <v>Total Rooms Cost</v>
      </c>
      <c r="G19" s="98">
        <f>SUM(G16:G18)</f>
        <v>1344764</v>
      </c>
    </row>
    <row r="20" ht="23.25" customHeight="1">
      <c r="D20" s="44"/>
    </row>
    <row r="21" ht="12.75">
      <c r="D21" s="45"/>
    </row>
    <row r="22" spans="2:11" ht="18.75">
      <c r="B22" s="150" t="s">
        <v>126</v>
      </c>
      <c r="C22" s="302"/>
      <c r="D22" s="303"/>
      <c r="E22" s="150"/>
      <c r="K22" s="267" t="s">
        <v>131</v>
      </c>
    </row>
    <row r="23" ht="4.5" customHeight="1" thickBot="1"/>
    <row r="24" spans="1:11" s="71" customFormat="1" ht="15.75" customHeight="1" thickBot="1">
      <c r="A24" s="100"/>
      <c r="B24" s="285" t="s">
        <v>127</v>
      </c>
      <c r="C24" s="286"/>
      <c r="D24" s="286"/>
      <c r="E24" s="286"/>
      <c r="F24" s="286"/>
      <c r="G24" s="286"/>
      <c r="H24" s="286"/>
      <c r="I24" s="286"/>
      <c r="K24" s="268" t="s">
        <v>132</v>
      </c>
    </row>
    <row r="25" spans="1:11" s="294" customFormat="1" ht="4.5" customHeight="1">
      <c r="A25" s="291"/>
      <c r="B25" s="292"/>
      <c r="C25" s="293"/>
      <c r="D25" s="293"/>
      <c r="E25" s="293"/>
      <c r="F25" s="293"/>
      <c r="G25" s="293"/>
      <c r="H25" s="293"/>
      <c r="I25" s="293"/>
      <c r="K25" s="295"/>
    </row>
    <row r="26" spans="1:9" s="72" customFormat="1" ht="15.75" customHeight="1">
      <c r="A26" s="99"/>
      <c r="B26" s="304" t="s">
        <v>128</v>
      </c>
      <c r="C26" s="305"/>
      <c r="D26" s="305"/>
      <c r="E26" s="305"/>
      <c r="F26" s="305"/>
      <c r="G26" s="305"/>
      <c r="H26" s="305"/>
      <c r="I26" s="305"/>
    </row>
    <row r="27" spans="1:9" s="299" customFormat="1" ht="3" customHeight="1">
      <c r="A27" s="296"/>
      <c r="B27" s="297"/>
      <c r="C27" s="298"/>
      <c r="D27" s="298"/>
      <c r="E27" s="298"/>
      <c r="F27" s="298"/>
      <c r="G27" s="298"/>
      <c r="H27" s="298"/>
      <c r="I27" s="298"/>
    </row>
    <row r="28" spans="1:9" s="73" customFormat="1" ht="15.75" customHeight="1">
      <c r="A28" s="101"/>
      <c r="B28" s="287" t="s">
        <v>129</v>
      </c>
      <c r="C28" s="288"/>
      <c r="D28" s="288"/>
      <c r="E28" s="288"/>
      <c r="F28" s="288"/>
      <c r="G28" s="288"/>
      <c r="H28" s="288"/>
      <c r="I28" s="288"/>
    </row>
    <row r="29" spans="1:9" s="301" customFormat="1" ht="4.5" customHeight="1">
      <c r="A29" s="300"/>
      <c r="B29" s="292"/>
      <c r="C29" s="293"/>
      <c r="D29" s="293"/>
      <c r="E29" s="293"/>
      <c r="F29" s="293"/>
      <c r="G29" s="293"/>
      <c r="H29" s="293"/>
      <c r="I29" s="293"/>
    </row>
    <row r="30" spans="1:9" s="74" customFormat="1" ht="15.75" customHeight="1">
      <c r="A30" s="102"/>
      <c r="B30" s="289" t="s">
        <v>130</v>
      </c>
      <c r="C30" s="290"/>
      <c r="D30" s="290"/>
      <c r="E30" s="290"/>
      <c r="F30" s="290"/>
      <c r="G30" s="290"/>
      <c r="H30" s="290"/>
      <c r="I30" s="290"/>
    </row>
  </sheetData>
  <hyperlinks>
    <hyperlink ref="K24" location="PC2!A1" display="hier klicken!"/>
    <hyperlink ref="K1" location="Navigation!A1" display="=Navigation!$A$1"/>
  </hyperlinks>
  <printOptions/>
  <pageMargins left="0.7874015748031497" right="0" top="0.5905511811023623" bottom="0" header="0.5118110236220472" footer="0.5118110236220472"/>
  <pageSetup horizontalDpi="600" verticalDpi="600" orientation="landscape" paperSize="9" scale="12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="95" zoomScaleNormal="95" workbookViewId="0" topLeftCell="A1">
      <selection activeCell="A22" sqref="A22"/>
    </sheetView>
  </sheetViews>
  <sheetFormatPr defaultColWidth="11.421875" defaultRowHeight="12.75"/>
  <cols>
    <col min="1" max="1" width="6.7109375" style="5" customWidth="1"/>
    <col min="2" max="2" width="4.28125" style="5" customWidth="1"/>
    <col min="3" max="3" width="11.28125" style="5" customWidth="1"/>
    <col min="4" max="4" width="12.140625" style="5" customWidth="1"/>
    <col min="5" max="6" width="14.140625" style="5" customWidth="1"/>
    <col min="7" max="7" width="9.57421875" style="5" customWidth="1"/>
    <col min="8" max="8" width="17.28125" style="5" customWidth="1"/>
    <col min="9" max="9" width="24.28125" style="5" customWidth="1"/>
    <col min="10" max="10" width="5.57421875" style="5" customWidth="1"/>
    <col min="11" max="11" width="16.7109375" style="5" customWidth="1"/>
    <col min="12" max="12" width="13.421875" style="5" customWidth="1"/>
    <col min="13" max="16384" width="11.421875" style="5" customWidth="1"/>
  </cols>
  <sheetData>
    <row r="1" spans="11:12" ht="24.75" thickBot="1">
      <c r="K1" s="212" t="str">
        <f>Navigation!$A$1</f>
        <v>Nights in white satin</v>
      </c>
      <c r="L1" s="207"/>
    </row>
    <row r="4" ht="4.5" customHeight="1"/>
    <row r="5" spans="1:9" ht="12.75">
      <c r="A5" s="89" t="s">
        <v>133</v>
      </c>
      <c r="B5" s="89"/>
      <c r="C5" s="89"/>
      <c r="D5" s="89"/>
      <c r="E5" s="94" t="s">
        <v>134</v>
      </c>
      <c r="F5" s="90">
        <v>8.95</v>
      </c>
      <c r="G5" s="89"/>
      <c r="H5" s="89"/>
      <c r="I5" s="89"/>
    </row>
    <row r="6" spans="1:9" ht="12.75">
      <c r="A6" s="89"/>
      <c r="B6" s="89"/>
      <c r="C6" s="89"/>
      <c r="D6" s="91"/>
      <c r="E6" s="92" t="s">
        <v>135</v>
      </c>
      <c r="F6" s="93">
        <f>E29/F22</f>
        <v>34.68419131069734</v>
      </c>
      <c r="G6" s="89"/>
      <c r="H6" s="89"/>
      <c r="I6" s="89"/>
    </row>
    <row r="7" spans="1:9" ht="12.75">
      <c r="A7" s="89"/>
      <c r="B7" s="89"/>
      <c r="C7" s="89"/>
      <c r="D7" s="89"/>
      <c r="E7" s="94" t="s">
        <v>136</v>
      </c>
      <c r="F7" s="95">
        <f>SUM(F5:F6)</f>
        <v>43.63419131069733</v>
      </c>
      <c r="G7" s="89"/>
      <c r="H7" s="89"/>
      <c r="I7" s="89"/>
    </row>
    <row r="8" spans="1:9" ht="3.75" customHeight="1">
      <c r="A8" s="89"/>
      <c r="B8" s="89"/>
      <c r="C8" s="89"/>
      <c r="D8" s="89"/>
      <c r="E8" s="94"/>
      <c r="F8" s="95"/>
      <c r="G8" s="89"/>
      <c r="H8" s="89"/>
      <c r="I8" s="89"/>
    </row>
    <row r="9" spans="1:11" ht="13.5" thickBot="1">
      <c r="A9" s="89" t="s">
        <v>140</v>
      </c>
      <c r="B9" s="89"/>
      <c r="C9" s="89"/>
      <c r="D9" s="89"/>
      <c r="E9" s="94"/>
      <c r="F9" s="95"/>
      <c r="G9" s="89"/>
      <c r="H9" s="89"/>
      <c r="I9" s="89"/>
      <c r="K9" s="5" t="s">
        <v>131</v>
      </c>
    </row>
    <row r="10" spans="1:12" ht="16.5" thickBot="1">
      <c r="A10" s="89" t="s">
        <v>141</v>
      </c>
      <c r="B10" s="89"/>
      <c r="C10" s="89"/>
      <c r="D10" s="89"/>
      <c r="E10" s="94"/>
      <c r="F10" s="95"/>
      <c r="G10" s="89"/>
      <c r="H10" s="89"/>
      <c r="I10" s="89"/>
      <c r="K10" s="268" t="s">
        <v>132</v>
      </c>
      <c r="L10" s="71"/>
    </row>
    <row r="12" spans="3:5" ht="12.75">
      <c r="C12" s="62"/>
      <c r="D12" s="66" t="s">
        <v>94</v>
      </c>
      <c r="E12" s="67"/>
    </row>
    <row r="13" spans="3:8" ht="25.5">
      <c r="C13" s="47" t="s">
        <v>4</v>
      </c>
      <c r="D13" s="47" t="s">
        <v>123</v>
      </c>
      <c r="E13" s="47" t="s">
        <v>137</v>
      </c>
      <c r="F13" s="47" t="s">
        <v>114</v>
      </c>
      <c r="H13" s="47" t="s">
        <v>138</v>
      </c>
    </row>
    <row r="14" spans="3:8" ht="3.75" customHeight="1">
      <c r="C14" s="75"/>
      <c r="D14" s="75"/>
      <c r="E14" s="75"/>
      <c r="F14" s="75"/>
      <c r="H14" s="75"/>
    </row>
    <row r="15" spans="3:8" ht="12.75">
      <c r="C15" s="272">
        <v>35</v>
      </c>
      <c r="D15" s="76">
        <f>-F5</f>
        <v>-8.95</v>
      </c>
      <c r="E15" s="76">
        <f aca="true" t="shared" si="0" ref="E15:E20">IF(C15=0,0,C15+D15)</f>
        <v>26.05</v>
      </c>
      <c r="F15" s="88">
        <v>12000</v>
      </c>
      <c r="H15" s="39">
        <f aca="true" t="shared" si="1" ref="H15:H20">E15*F15</f>
        <v>312600</v>
      </c>
    </row>
    <row r="16" spans="3:8" ht="12.75">
      <c r="C16" s="272">
        <v>42</v>
      </c>
      <c r="D16" s="76">
        <f>D15</f>
        <v>-8.95</v>
      </c>
      <c r="E16" s="76">
        <f t="shared" si="0"/>
        <v>33.05</v>
      </c>
      <c r="F16" s="88">
        <v>5800</v>
      </c>
      <c r="H16" s="39">
        <f t="shared" si="1"/>
        <v>191689.99999999997</v>
      </c>
    </row>
    <row r="17" spans="3:8" ht="12.75">
      <c r="C17" s="87">
        <v>57</v>
      </c>
      <c r="D17" s="76">
        <f>D16</f>
        <v>-8.95</v>
      </c>
      <c r="E17" s="76">
        <f t="shared" si="0"/>
        <v>48.05</v>
      </c>
      <c r="F17" s="88">
        <v>2200</v>
      </c>
      <c r="H17" s="39">
        <f t="shared" si="1"/>
        <v>105710</v>
      </c>
    </row>
    <row r="18" spans="3:8" ht="12.75">
      <c r="C18" s="87">
        <v>65</v>
      </c>
      <c r="D18" s="76">
        <f>D17</f>
        <v>-8.95</v>
      </c>
      <c r="E18" s="76">
        <f t="shared" si="0"/>
        <v>56.05</v>
      </c>
      <c r="F18" s="88">
        <v>4300</v>
      </c>
      <c r="H18" s="39">
        <f t="shared" si="1"/>
        <v>241015</v>
      </c>
    </row>
    <row r="19" spans="3:8" ht="12.75">
      <c r="C19" s="87">
        <v>75</v>
      </c>
      <c r="D19" s="76">
        <f>D18</f>
        <v>-8.95</v>
      </c>
      <c r="E19" s="76">
        <f t="shared" si="0"/>
        <v>66.05</v>
      </c>
      <c r="F19" s="88">
        <v>1800</v>
      </c>
      <c r="H19" s="39">
        <f t="shared" si="1"/>
        <v>118890</v>
      </c>
    </row>
    <row r="20" spans="3:8" ht="12.75">
      <c r="C20" s="87">
        <v>85</v>
      </c>
      <c r="D20" s="76">
        <f>D19</f>
        <v>-8.95</v>
      </c>
      <c r="E20" s="76">
        <f t="shared" si="0"/>
        <v>76.05</v>
      </c>
      <c r="F20" s="88">
        <v>1290</v>
      </c>
      <c r="H20" s="39">
        <f t="shared" si="1"/>
        <v>98104.5</v>
      </c>
    </row>
    <row r="21" ht="6" customHeight="1"/>
    <row r="22" spans="3:8" ht="12.75">
      <c r="C22" s="77">
        <f>IF(F22=0,0,(C15*F15+C16*F16+C17*F17+C18*F18+C19*F19+C20*F20)/F22)</f>
        <v>47.94267981014969</v>
      </c>
      <c r="D22" s="76">
        <f>D20</f>
        <v>-8.95</v>
      </c>
      <c r="E22" s="77">
        <f>C22+D22</f>
        <v>38.992679810149696</v>
      </c>
      <c r="F22" s="78">
        <f>SUM(F15:F20)</f>
        <v>27390</v>
      </c>
      <c r="H22" s="39">
        <f>SUM(H15:H20)</f>
        <v>1068009.5</v>
      </c>
    </row>
    <row r="24" ht="6" customHeight="1"/>
    <row r="26" spans="5:9" ht="15.75">
      <c r="E26" s="65">
        <f>H22</f>
        <v>1068009.5</v>
      </c>
      <c r="I26" s="81" t="s">
        <v>142</v>
      </c>
    </row>
    <row r="27" spans="3:9" ht="23.25" customHeight="1">
      <c r="C27" s="318">
        <f>IF(C25&gt;0,"variable Kosten sind gedeckt!","")</f>
      </c>
      <c r="D27" s="318"/>
      <c r="G27" s="44"/>
      <c r="I27" s="82" t="s">
        <v>138</v>
      </c>
    </row>
    <row r="28" spans="3:9" ht="15.75">
      <c r="C28" s="45"/>
      <c r="D28" s="45"/>
      <c r="E28" s="55" t="s">
        <v>139</v>
      </c>
      <c r="G28" s="45"/>
      <c r="I28" s="82" t="s">
        <v>143</v>
      </c>
    </row>
    <row r="29" spans="2:9" ht="22.5" customHeight="1">
      <c r="B29" s="50"/>
      <c r="C29" s="316"/>
      <c r="D29" s="317"/>
      <c r="E29" s="65">
        <v>950000</v>
      </c>
      <c r="F29" s="54"/>
      <c r="G29" s="51"/>
      <c r="H29" s="50"/>
      <c r="I29" s="82"/>
    </row>
    <row r="30" ht="21" customHeight="1">
      <c r="I30" s="83">
        <f>H22-E29</f>
        <v>118009.5</v>
      </c>
    </row>
    <row r="31" ht="20.25" customHeight="1"/>
  </sheetData>
  <mergeCells count="2">
    <mergeCell ref="C29:D29"/>
    <mergeCell ref="C27:D27"/>
  </mergeCells>
  <conditionalFormatting sqref="I26:I30">
    <cfRule type="expression" priority="1" dxfId="0" stopIfTrue="1">
      <formula>I$30=0</formula>
    </cfRule>
    <cfRule type="expression" priority="2" dxfId="2" stopIfTrue="1">
      <formula>I$30&gt;0</formula>
    </cfRule>
    <cfRule type="expression" priority="3" dxfId="3" stopIfTrue="1">
      <formula>I$30&lt;0</formula>
    </cfRule>
  </conditionalFormatting>
  <hyperlinks>
    <hyperlink ref="K10" location="PC3!A1" display="hier klicken!"/>
    <hyperlink ref="K1" location="Navigation!A1" display="=Navigation!$A$1"/>
  </hyperlinks>
  <printOptions/>
  <pageMargins left="0.7874015748031497" right="0" top="0.7874015748031497" bottom="0" header="0.5118110236220472" footer="0.5118110236220472"/>
  <pageSetup horizontalDpi="600" verticalDpi="600"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="95" zoomScaleNormal="95" workbookViewId="0" topLeftCell="A1">
      <selection activeCell="H11" sqref="H11"/>
    </sheetView>
  </sheetViews>
  <sheetFormatPr defaultColWidth="11.421875" defaultRowHeight="12.75"/>
  <cols>
    <col min="1" max="1" width="6.7109375" style="5" customWidth="1"/>
    <col min="2" max="2" width="0.71875" style="5" customWidth="1"/>
    <col min="3" max="3" width="12.00390625" style="5" customWidth="1"/>
    <col min="4" max="4" width="14.421875" style="5" customWidth="1"/>
    <col min="5" max="5" width="12.8515625" style="5" customWidth="1"/>
    <col min="6" max="6" width="14.140625" style="5" customWidth="1"/>
    <col min="7" max="7" width="9.57421875" style="5" customWidth="1"/>
    <col min="8" max="8" width="17.28125" style="5" customWidth="1"/>
    <col min="9" max="9" width="24.28125" style="5" customWidth="1"/>
    <col min="10" max="10" width="2.421875" style="5" customWidth="1"/>
    <col min="11" max="11" width="22.57421875" style="5" customWidth="1"/>
    <col min="12" max="12" width="7.421875" style="5" customWidth="1"/>
    <col min="13" max="16384" width="11.421875" style="5" customWidth="1"/>
  </cols>
  <sheetData>
    <row r="1" spans="11:12" ht="24.75" thickBot="1">
      <c r="K1" s="212" t="str">
        <f>Navigation!$A$1</f>
        <v>Nights in white satin</v>
      </c>
      <c r="L1" s="207"/>
    </row>
    <row r="4" ht="4.5" customHeight="1"/>
    <row r="5" spans="1:9" ht="12.75">
      <c r="A5" s="275" t="s">
        <v>133</v>
      </c>
      <c r="B5" s="275"/>
      <c r="C5" s="275"/>
      <c r="D5" s="275"/>
      <c r="E5" s="276" t="str">
        <f>PC2!E5</f>
        <v>variable costs per room:</v>
      </c>
      <c r="F5" s="277">
        <v>8.95</v>
      </c>
      <c r="G5" s="275"/>
      <c r="H5" s="275"/>
      <c r="I5" s="275"/>
    </row>
    <row r="6" spans="1:9" ht="12.75">
      <c r="A6" s="275"/>
      <c r="B6" s="275"/>
      <c r="C6" s="275"/>
      <c r="D6" s="282"/>
      <c r="E6" s="283" t="str">
        <f>PC2!E6</f>
        <v>fixed costs per room:</v>
      </c>
      <c r="F6" s="284">
        <f>E29/F22</f>
        <v>99.06152241918666</v>
      </c>
      <c r="G6" s="275"/>
      <c r="H6" s="275"/>
      <c r="I6" s="275"/>
    </row>
    <row r="7" spans="1:9" ht="12.75">
      <c r="A7" s="275"/>
      <c r="B7" s="275"/>
      <c r="C7" s="275"/>
      <c r="D7" s="275"/>
      <c r="E7" s="276" t="str">
        <f>PC2!E7</f>
        <v>total costs per room:</v>
      </c>
      <c r="F7" s="278">
        <f>SUM(F5:F6)</f>
        <v>108.01152241918666</v>
      </c>
      <c r="G7" s="275"/>
      <c r="H7" s="275"/>
      <c r="I7" s="275"/>
    </row>
    <row r="8" spans="1:9" ht="3.75" customHeight="1">
      <c r="A8" s="275"/>
      <c r="B8" s="275"/>
      <c r="C8" s="275"/>
      <c r="D8" s="275"/>
      <c r="E8" s="276"/>
      <c r="F8" s="278"/>
      <c r="G8" s="275"/>
      <c r="H8" s="275"/>
      <c r="I8" s="275"/>
    </row>
    <row r="9" spans="1:9" ht="12.75">
      <c r="A9" s="275" t="s">
        <v>144</v>
      </c>
      <c r="B9" s="275"/>
      <c r="C9" s="275"/>
      <c r="D9" s="275"/>
      <c r="E9" s="276"/>
      <c r="F9" s="278"/>
      <c r="G9" s="275"/>
      <c r="H9" s="275"/>
      <c r="I9" s="275"/>
    </row>
    <row r="10" spans="1:9" ht="12.75">
      <c r="A10" s="275" t="s">
        <v>145</v>
      </c>
      <c r="B10" s="275"/>
      <c r="C10" s="275"/>
      <c r="D10" s="275"/>
      <c r="E10" s="276"/>
      <c r="F10" s="278"/>
      <c r="G10" s="275"/>
      <c r="H10" s="275"/>
      <c r="I10" s="275"/>
    </row>
    <row r="12" spans="3:5" ht="12.75">
      <c r="C12" s="62"/>
      <c r="D12" s="66" t="str">
        <f>PC2!D12</f>
        <v>per room</v>
      </c>
      <c r="E12" s="67"/>
    </row>
    <row r="13" spans="3:11" ht="12.75">
      <c r="C13" s="47" t="s">
        <v>4</v>
      </c>
      <c r="D13" s="47" t="s">
        <v>123</v>
      </c>
      <c r="E13" s="47" t="s">
        <v>146</v>
      </c>
      <c r="F13" s="47" t="s">
        <v>114</v>
      </c>
      <c r="H13" s="47" t="s">
        <v>138</v>
      </c>
      <c r="K13" s="211" t="s">
        <v>147</v>
      </c>
    </row>
    <row r="14" spans="3:8" ht="3.75" customHeight="1">
      <c r="C14" s="75"/>
      <c r="D14" s="75"/>
      <c r="E14" s="75"/>
      <c r="F14" s="75"/>
      <c r="H14" s="75"/>
    </row>
    <row r="15" spans="3:11" ht="13.5" thickBot="1">
      <c r="C15" s="271"/>
      <c r="D15" s="279"/>
      <c r="E15" s="279"/>
      <c r="F15" s="280"/>
      <c r="H15" s="281">
        <f aca="true" t="shared" si="0" ref="H15:H20">E15*F15</f>
        <v>0</v>
      </c>
      <c r="K15" s="211" t="s">
        <v>148</v>
      </c>
    </row>
    <row r="16" spans="3:11" ht="16.5" thickBot="1">
      <c r="C16" s="271"/>
      <c r="D16" s="279"/>
      <c r="E16" s="279"/>
      <c r="F16" s="280"/>
      <c r="H16" s="281">
        <f t="shared" si="0"/>
        <v>0</v>
      </c>
      <c r="K16" s="269" t="s">
        <v>132</v>
      </c>
    </row>
    <row r="17" spans="3:8" ht="12.75">
      <c r="C17" s="87">
        <v>57</v>
      </c>
      <c r="D17" s="76">
        <f>-F5</f>
        <v>-8.95</v>
      </c>
      <c r="E17" s="76">
        <f>IF(C17=0,0,C17+D17)</f>
        <v>48.05</v>
      </c>
      <c r="F17" s="88">
        <v>2200</v>
      </c>
      <c r="H17" s="39">
        <f t="shared" si="0"/>
        <v>105710</v>
      </c>
    </row>
    <row r="18" spans="3:8" ht="12.75">
      <c r="C18" s="87">
        <v>65</v>
      </c>
      <c r="D18" s="76">
        <f>D17</f>
        <v>-8.95</v>
      </c>
      <c r="E18" s="76">
        <f>IF(C18=0,0,C18+D18)</f>
        <v>56.05</v>
      </c>
      <c r="F18" s="88">
        <v>4300</v>
      </c>
      <c r="H18" s="39">
        <f t="shared" si="0"/>
        <v>241015</v>
      </c>
    </row>
    <row r="19" spans="3:8" ht="12.75">
      <c r="C19" s="87">
        <v>75</v>
      </c>
      <c r="D19" s="76">
        <f>D18</f>
        <v>-8.95</v>
      </c>
      <c r="E19" s="76">
        <f>IF(C19=0,0,C19+D19)</f>
        <v>66.05</v>
      </c>
      <c r="F19" s="88">
        <v>1800</v>
      </c>
      <c r="H19" s="39">
        <f t="shared" si="0"/>
        <v>118890</v>
      </c>
    </row>
    <row r="20" spans="3:8" ht="12.75">
      <c r="C20" s="87">
        <v>85</v>
      </c>
      <c r="D20" s="76">
        <f>D19</f>
        <v>-8.95</v>
      </c>
      <c r="E20" s="76">
        <f>IF(C20=0,0,C20+D20)</f>
        <v>76.05</v>
      </c>
      <c r="F20" s="88">
        <v>1290</v>
      </c>
      <c r="H20" s="39">
        <f t="shared" si="0"/>
        <v>98104.5</v>
      </c>
    </row>
    <row r="21" ht="6" customHeight="1"/>
    <row r="22" spans="3:8" ht="12.75">
      <c r="C22" s="77">
        <f>IF(F22=0,0,(C15*F15+C16*F16+C17*F17+C18*F18+C19*F19+C20*F20)/F22)</f>
        <v>67.7320125130344</v>
      </c>
      <c r="D22" s="76">
        <f>D20</f>
        <v>-8.95</v>
      </c>
      <c r="E22" s="77">
        <f>C22+D22</f>
        <v>58.7820125130344</v>
      </c>
      <c r="F22" s="78">
        <f>SUM(F15:F20)</f>
        <v>9590</v>
      </c>
      <c r="H22" s="39">
        <f>SUM(H15:H20)</f>
        <v>563719.5</v>
      </c>
    </row>
    <row r="24" ht="6" customHeight="1"/>
    <row r="26" spans="5:9" ht="15.75">
      <c r="E26" s="65">
        <f>H22</f>
        <v>563719.5</v>
      </c>
      <c r="I26" s="81" t="str">
        <f>PC2!I26</f>
        <v>Profit / Loss =</v>
      </c>
    </row>
    <row r="27" spans="3:9" ht="23.25" customHeight="1">
      <c r="C27" s="318">
        <f>IF(C25&gt;0,"variable Kosten sind gedeckt!","")</f>
      </c>
      <c r="D27" s="318"/>
      <c r="G27" s="44"/>
      <c r="I27" s="82" t="str">
        <f>PC2!I27</f>
        <v>Total margins</v>
      </c>
    </row>
    <row r="28" spans="3:9" ht="15.75">
      <c r="C28" s="45"/>
      <c r="D28" s="45"/>
      <c r="E28" s="55" t="str">
        <f>PC2!E28</f>
        <v>Total fixed costs</v>
      </c>
      <c r="G28" s="45"/>
      <c r="I28" s="82" t="str">
        <f>PC2!I28</f>
        <v>minus fixed costs</v>
      </c>
    </row>
    <row r="29" spans="2:9" ht="22.5" customHeight="1">
      <c r="B29" s="50"/>
      <c r="C29" s="316"/>
      <c r="D29" s="317"/>
      <c r="E29" s="65">
        <v>950000</v>
      </c>
      <c r="F29" s="54"/>
      <c r="G29" s="51"/>
      <c r="H29" s="50"/>
      <c r="I29" s="82"/>
    </row>
    <row r="30" ht="21" customHeight="1">
      <c r="I30" s="83">
        <f>H22-E29</f>
        <v>-386280.5</v>
      </c>
    </row>
    <row r="31" ht="20.25" customHeight="1"/>
  </sheetData>
  <mergeCells count="2">
    <mergeCell ref="C29:D29"/>
    <mergeCell ref="C27:D27"/>
  </mergeCells>
  <conditionalFormatting sqref="I26:I30">
    <cfRule type="expression" priority="1" dxfId="0" stopIfTrue="1">
      <formula>I$30=0</formula>
    </cfRule>
    <cfRule type="expression" priority="2" dxfId="2" stopIfTrue="1">
      <formula>I$30&gt;0</formula>
    </cfRule>
    <cfRule type="expression" priority="3" dxfId="3" stopIfTrue="1">
      <formula>I$30&lt;0</formula>
    </cfRule>
  </conditionalFormatting>
  <hyperlinks>
    <hyperlink ref="K16" location="PC4!A1" display="hier klicken!"/>
    <hyperlink ref="K1" location="Navigation!A1" display="=Navigation!$A$1"/>
  </hyperlinks>
  <printOptions/>
  <pageMargins left="0.7874015748031497" right="0" top="0.7874015748031497" bottom="0" header="0.5118110236220472" footer="0.5118110236220472"/>
  <pageSetup horizontalDpi="600" verticalDpi="600"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30"/>
  <sheetViews>
    <sheetView showGridLines="0" zoomScale="95" zoomScaleNormal="95" workbookViewId="0" topLeftCell="A1">
      <selection activeCell="J32" sqref="J32"/>
    </sheetView>
  </sheetViews>
  <sheetFormatPr defaultColWidth="11.421875" defaultRowHeight="12.75"/>
  <cols>
    <col min="1" max="1" width="0.9921875" style="5" customWidth="1"/>
    <col min="2" max="2" width="4.28125" style="5" customWidth="1"/>
    <col min="3" max="3" width="9.421875" style="5" customWidth="1"/>
    <col min="4" max="4" width="9.7109375" style="5" customWidth="1"/>
    <col min="5" max="5" width="12.00390625" style="5" customWidth="1"/>
    <col min="6" max="6" width="14.140625" style="5" customWidth="1"/>
    <col min="7" max="7" width="12.28125" style="5" customWidth="1"/>
    <col min="8" max="8" width="10.421875" style="5" customWidth="1"/>
    <col min="9" max="9" width="13.28125" style="5" customWidth="1"/>
    <col min="10" max="10" width="27.28125" style="5" customWidth="1"/>
    <col min="11" max="11" width="2.7109375" style="5" customWidth="1"/>
    <col min="12" max="12" width="18.28125" style="5" customWidth="1"/>
    <col min="13" max="13" width="12.421875" style="5" customWidth="1"/>
    <col min="14" max="16384" width="11.421875" style="5" customWidth="1"/>
  </cols>
  <sheetData>
    <row r="1" spans="2:13" ht="24.75" thickBot="1">
      <c r="B1" s="220" t="s">
        <v>149</v>
      </c>
      <c r="C1" s="213"/>
      <c r="D1" s="213"/>
      <c r="E1" s="213"/>
      <c r="F1" s="213"/>
      <c r="G1" s="213"/>
      <c r="H1" s="213"/>
      <c r="I1" s="213"/>
      <c r="J1" s="213"/>
      <c r="L1" s="212" t="str">
        <f>Navigation!$A$1</f>
        <v>Nights in white satin</v>
      </c>
      <c r="M1" s="207"/>
    </row>
    <row r="2" spans="2:10" ht="15">
      <c r="B2" s="214" t="s">
        <v>150</v>
      </c>
      <c r="C2" s="215"/>
      <c r="D2" s="215"/>
      <c r="E2" s="215"/>
      <c r="F2" s="215"/>
      <c r="G2" s="215"/>
      <c r="H2" s="215"/>
      <c r="I2" s="215"/>
      <c r="J2" s="216"/>
    </row>
    <row r="3" spans="2:10" ht="15">
      <c r="B3" s="217" t="s">
        <v>151</v>
      </c>
      <c r="C3" s="218"/>
      <c r="D3" s="218"/>
      <c r="E3" s="218"/>
      <c r="F3" s="218"/>
      <c r="G3" s="218"/>
      <c r="H3" s="218"/>
      <c r="I3" s="218"/>
      <c r="J3" s="219"/>
    </row>
    <row r="4" ht="5.25" customHeight="1"/>
    <row r="5" spans="2:10" s="150" customFormat="1" ht="18.75">
      <c r="B5" s="221" t="s">
        <v>152</v>
      </c>
      <c r="C5" s="221"/>
      <c r="D5" s="221"/>
      <c r="E5" s="221"/>
      <c r="F5" s="221"/>
      <c r="G5" s="221"/>
      <c r="H5" s="221"/>
      <c r="I5" s="222" t="str">
        <f>DATA!A10</f>
        <v>Hotel:</v>
      </c>
      <c r="J5" s="223" t="str">
        <f>DATA!C10</f>
        <v>Amaryllis</v>
      </c>
    </row>
    <row r="6" spans="2:10" ht="15">
      <c r="B6" s="72"/>
      <c r="C6" s="72"/>
      <c r="D6" s="72"/>
      <c r="E6" s="72"/>
      <c r="F6" s="72"/>
      <c r="G6" s="72"/>
      <c r="H6" s="72"/>
      <c r="I6" s="222" t="str">
        <f>DATA!A14</f>
        <v>Year:</v>
      </c>
      <c r="J6" s="224">
        <f>DATA!D14</f>
        <v>2007</v>
      </c>
    </row>
    <row r="7" ht="3" customHeight="1"/>
    <row r="8" spans="3:5" ht="12.75">
      <c r="C8" s="62"/>
      <c r="D8" s="66" t="s">
        <v>94</v>
      </c>
      <c r="E8" s="67"/>
    </row>
    <row r="9" spans="3:9" ht="25.5">
      <c r="C9" s="47" t="s">
        <v>4</v>
      </c>
      <c r="D9" s="47" t="s">
        <v>153</v>
      </c>
      <c r="E9" s="47" t="s">
        <v>123</v>
      </c>
      <c r="F9" s="47" t="s">
        <v>146</v>
      </c>
      <c r="G9" s="47" t="s">
        <v>114</v>
      </c>
      <c r="I9" s="47" t="s">
        <v>138</v>
      </c>
    </row>
    <row r="10" spans="3:9" ht="3.75" customHeight="1">
      <c r="C10" s="75"/>
      <c r="D10" s="75"/>
      <c r="E10" s="75"/>
      <c r="F10" s="75"/>
      <c r="G10" s="75"/>
      <c r="I10" s="75"/>
    </row>
    <row r="11" spans="3:9" ht="12.75">
      <c r="C11" s="84">
        <v>45</v>
      </c>
      <c r="D11" s="149">
        <v>1.8</v>
      </c>
      <c r="E11" s="76">
        <f>-DATA!H$71*D11</f>
        <v>-23.259850437851266</v>
      </c>
      <c r="F11" s="76">
        <f aca="true" t="shared" si="0" ref="F11:F20">IF(C11=0,0,C11+E11)</f>
        <v>21.740149562148734</v>
      </c>
      <c r="G11" s="85">
        <v>12000</v>
      </c>
      <c r="I11" s="39">
        <f aca="true" t="shared" si="1" ref="I11:I20">F11*G11</f>
        <v>260881.7947457848</v>
      </c>
    </row>
    <row r="12" spans="3:9" ht="12.75">
      <c r="C12" s="84">
        <v>50</v>
      </c>
      <c r="D12" s="149">
        <v>1</v>
      </c>
      <c r="E12" s="76">
        <f>-DATA!H$71*D12</f>
        <v>-12.922139132139591</v>
      </c>
      <c r="F12" s="76">
        <f t="shared" si="0"/>
        <v>37.07786086786041</v>
      </c>
      <c r="G12" s="85">
        <v>3800</v>
      </c>
      <c r="I12" s="39">
        <f t="shared" si="1"/>
        <v>140895.87129786954</v>
      </c>
    </row>
    <row r="13" spans="3:9" ht="12.75">
      <c r="C13" s="84">
        <v>52</v>
      </c>
      <c r="D13" s="149">
        <v>1</v>
      </c>
      <c r="E13" s="76">
        <f>-DATA!H$71*D13</f>
        <v>-12.922139132139591</v>
      </c>
      <c r="F13" s="76">
        <f>IF(C13=0,0,C13+E13)</f>
        <v>39.07786086786041</v>
      </c>
      <c r="G13" s="85">
        <v>1000</v>
      </c>
      <c r="I13" s="39">
        <f t="shared" si="1"/>
        <v>39077.86086786041</v>
      </c>
    </row>
    <row r="14" spans="3:9" ht="12.75">
      <c r="C14" s="84">
        <v>55</v>
      </c>
      <c r="D14" s="149">
        <v>1</v>
      </c>
      <c r="E14" s="76">
        <f>-DATA!H$71*D14</f>
        <v>-12.922139132139591</v>
      </c>
      <c r="F14" s="76">
        <f>IF(C14=0,0,C14+E14)</f>
        <v>42.07786086786041</v>
      </c>
      <c r="G14" s="85">
        <v>1000</v>
      </c>
      <c r="I14" s="39">
        <f t="shared" si="1"/>
        <v>42077.86086786041</v>
      </c>
    </row>
    <row r="15" spans="3:9" ht="12.75">
      <c r="C15" s="84">
        <v>57</v>
      </c>
      <c r="D15" s="149">
        <v>1</v>
      </c>
      <c r="E15" s="76">
        <f>-DATA!H$71*D15</f>
        <v>-12.922139132139591</v>
      </c>
      <c r="F15" s="76">
        <f t="shared" si="0"/>
        <v>44.07786086786041</v>
      </c>
      <c r="G15" s="85">
        <v>2200</v>
      </c>
      <c r="I15" s="39">
        <f t="shared" si="1"/>
        <v>96971.2939092929</v>
      </c>
    </row>
    <row r="16" spans="3:9" ht="12.75">
      <c r="C16" s="84">
        <v>65</v>
      </c>
      <c r="D16" s="149">
        <v>1</v>
      </c>
      <c r="E16" s="76">
        <f>-DATA!H$71*D16</f>
        <v>-12.922139132139591</v>
      </c>
      <c r="F16" s="76">
        <f t="shared" si="0"/>
        <v>52.07786086786041</v>
      </c>
      <c r="G16" s="85">
        <v>4300</v>
      </c>
      <c r="I16" s="39">
        <f t="shared" si="1"/>
        <v>223934.80173179976</v>
      </c>
    </row>
    <row r="17" spans="3:9" ht="12.75">
      <c r="C17" s="84">
        <v>75</v>
      </c>
      <c r="D17" s="149">
        <v>1</v>
      </c>
      <c r="E17" s="76">
        <f>-DATA!H$71*D17</f>
        <v>-12.922139132139591</v>
      </c>
      <c r="F17" s="76">
        <f t="shared" si="0"/>
        <v>62.07786086786041</v>
      </c>
      <c r="G17" s="85">
        <v>800</v>
      </c>
      <c r="I17" s="39">
        <f t="shared" si="1"/>
        <v>49662.28869428833</v>
      </c>
    </row>
    <row r="18" spans="3:9" ht="12.75">
      <c r="C18" s="84">
        <v>75</v>
      </c>
      <c r="D18" s="149">
        <v>1</v>
      </c>
      <c r="E18" s="76">
        <f>-DATA!H$71*D18</f>
        <v>-12.922139132139591</v>
      </c>
      <c r="F18" s="76">
        <f t="shared" si="0"/>
        <v>62.07786086786041</v>
      </c>
      <c r="G18" s="85">
        <v>700</v>
      </c>
      <c r="I18" s="39">
        <f t="shared" si="1"/>
        <v>43454.50260750228</v>
      </c>
    </row>
    <row r="19" spans="3:9" ht="12.75">
      <c r="C19" s="84">
        <v>75</v>
      </c>
      <c r="D19" s="149">
        <v>1.4</v>
      </c>
      <c r="E19" s="76">
        <f>-DATA!H$71*D19</f>
        <v>-18.090994784995427</v>
      </c>
      <c r="F19" s="76">
        <f t="shared" si="0"/>
        <v>56.90900521500457</v>
      </c>
      <c r="G19" s="85">
        <v>1000</v>
      </c>
      <c r="I19" s="39">
        <f t="shared" si="1"/>
        <v>56909.00521500457</v>
      </c>
    </row>
    <row r="20" spans="3:9" ht="12.75">
      <c r="C20" s="84">
        <v>85</v>
      </c>
      <c r="D20" s="149">
        <v>1</v>
      </c>
      <c r="E20" s="76">
        <f>-DATA!H$71*D20</f>
        <v>-12.922139132139591</v>
      </c>
      <c r="F20" s="76">
        <f t="shared" si="0"/>
        <v>72.07786086786041</v>
      </c>
      <c r="G20" s="85">
        <v>3200</v>
      </c>
      <c r="I20" s="39">
        <f t="shared" si="1"/>
        <v>230649.1547771533</v>
      </c>
    </row>
    <row r="21" ht="6" customHeight="1"/>
    <row r="22" spans="3:9" ht="12.75">
      <c r="C22" s="77">
        <f>IF(G22=0,0,(C11*G11+C12*G12+C15*G15+C16*G16+C17*G17+C20*G20)/G22)</f>
        <v>48.89666666666667</v>
      </c>
      <c r="D22" s="78">
        <f>(D11*G11)+(D12*G12)+(D13*G13)+(D14*G14)+(D15*G15)+(D16*G16)+(D17*G17)+(D18*G18)+(D19*G19)+(D20*G20)</f>
        <v>40000</v>
      </c>
      <c r="E22" s="76">
        <f>((E11*G11)+(E12*G12)+(E15*G15)+(E16*G16)+(E17*G17)+(E18*G18)+(E19*G19)+(E20*G20))/G22</f>
        <v>-16.368042900710154</v>
      </c>
      <c r="F22" s="77">
        <f>C22+E22</f>
        <v>32.52862376595651</v>
      </c>
      <c r="G22" s="78">
        <f>SUM(G11:G20)</f>
        <v>30000</v>
      </c>
      <c r="I22" s="39">
        <f>SUM(I11:I20)</f>
        <v>1184514.4347144163</v>
      </c>
    </row>
    <row r="26" spans="5:10" ht="15.75">
      <c r="E26" s="65">
        <f>I22</f>
        <v>1184514.4347144163</v>
      </c>
      <c r="J26" s="81" t="str">
        <f>PC2!I26</f>
        <v>Profit / Loss =</v>
      </c>
    </row>
    <row r="27" spans="3:10" ht="15.75" customHeight="1">
      <c r="C27" s="318">
        <f>IF(C25&gt;0,"variable Kosten sind gedeckt!","")</f>
      </c>
      <c r="D27" s="318"/>
      <c r="G27" s="44"/>
      <c r="H27" s="44"/>
      <c r="J27" s="82" t="str">
        <f>PC2!I27</f>
        <v>Total margins</v>
      </c>
    </row>
    <row r="28" spans="3:10" ht="15.75">
      <c r="C28" s="45"/>
      <c r="D28" s="45"/>
      <c r="E28" s="55" t="str">
        <f>PC2!E28</f>
        <v>Total fixed costs</v>
      </c>
      <c r="G28" s="45"/>
      <c r="H28" s="45"/>
      <c r="J28" s="82" t="str">
        <f>PC2!I28</f>
        <v>minus fixed costs</v>
      </c>
    </row>
    <row r="29" spans="2:10" ht="5.25" customHeight="1">
      <c r="B29" s="50"/>
      <c r="C29" s="316"/>
      <c r="D29" s="317"/>
      <c r="F29" s="54"/>
      <c r="G29" s="51"/>
      <c r="H29" s="51"/>
      <c r="I29" s="50"/>
      <c r="J29" s="82"/>
    </row>
    <row r="30" spans="5:10" ht="21" customHeight="1">
      <c r="E30" s="65">
        <f>DATA!F39-DATA!J71</f>
        <v>1002356.506</v>
      </c>
      <c r="J30" s="83">
        <f>I22-E30</f>
        <v>182157.92871441622</v>
      </c>
    </row>
    <row r="31" ht="20.25" customHeight="1"/>
  </sheetData>
  <mergeCells count="2">
    <mergeCell ref="C29:D29"/>
    <mergeCell ref="C27:D27"/>
  </mergeCells>
  <conditionalFormatting sqref="J26:J30">
    <cfRule type="expression" priority="1" dxfId="0" stopIfTrue="1">
      <formula>J$30=0</formula>
    </cfRule>
    <cfRule type="expression" priority="2" dxfId="2" stopIfTrue="1">
      <formula>J$30&gt;0</formula>
    </cfRule>
    <cfRule type="expression" priority="3" dxfId="3" stopIfTrue="1">
      <formula>J$30&lt;0</formula>
    </cfRule>
  </conditionalFormatting>
  <hyperlinks>
    <hyperlink ref="L1" location="Navigation!A1" display="=Navigation!$A$1"/>
  </hyperlinks>
  <printOptions verticalCentered="1"/>
  <pageMargins left="0.7874015748031497" right="0.1968503937007874" top="0.1968503937007874" bottom="0.7874015748031497" header="0.5118110236220472" footer="0.5118110236220472"/>
  <pageSetup horizontalDpi="600" verticalDpi="600" orientation="landscape" paperSize="9" scale="11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showGridLines="0" workbookViewId="0" topLeftCell="A1">
      <selection activeCell="D7" sqref="D7"/>
    </sheetView>
  </sheetViews>
  <sheetFormatPr defaultColWidth="11.421875" defaultRowHeight="12.75"/>
  <cols>
    <col min="1" max="1" width="0.5625" style="5" customWidth="1"/>
    <col min="2" max="2" width="1.28515625" style="5" customWidth="1"/>
    <col min="3" max="3" width="21.7109375" style="5" customWidth="1"/>
    <col min="4" max="4" width="7.7109375" style="5" customWidth="1"/>
    <col min="5" max="5" width="14.8515625" style="5" customWidth="1"/>
    <col min="6" max="6" width="21.57421875" style="5" customWidth="1"/>
    <col min="7" max="7" width="14.28125" style="5" customWidth="1"/>
    <col min="8" max="8" width="10.140625" style="5" customWidth="1"/>
    <col min="9" max="9" width="7.28125" style="5" customWidth="1"/>
    <col min="10" max="10" width="10.7109375" style="5" customWidth="1"/>
    <col min="11" max="11" width="20.140625" style="5" customWidth="1"/>
    <col min="12" max="12" width="9.421875" style="5" customWidth="1"/>
    <col min="13" max="16384" width="11.421875" style="5" customWidth="1"/>
  </cols>
  <sheetData>
    <row r="1" spans="11:12" ht="24.75" thickBot="1">
      <c r="K1" s="212" t="str">
        <f>Navigation!$A$1</f>
        <v>Nights in white satin</v>
      </c>
      <c r="L1" s="207"/>
    </row>
    <row r="4" ht="6.75" customHeight="1"/>
    <row r="5" ht="6" customHeight="1"/>
    <row r="6" spans="5:7" ht="18">
      <c r="E6" s="265" t="s">
        <v>154</v>
      </c>
      <c r="G6" s="234">
        <f>DATA!D14</f>
        <v>2007</v>
      </c>
    </row>
    <row r="7" spans="5:7" s="80" customFormat="1" ht="15.75">
      <c r="E7" s="274" t="s">
        <v>155</v>
      </c>
      <c r="G7" s="273"/>
    </row>
    <row r="8" spans="5:6" ht="6" customHeight="1">
      <c r="E8" s="40"/>
      <c r="F8" s="64"/>
    </row>
    <row r="9" spans="2:6" s="31" customFormat="1" ht="12.75">
      <c r="B9" s="5"/>
      <c r="C9" s="5" t="s">
        <v>156</v>
      </c>
      <c r="E9" s="68"/>
      <c r="F9" s="70"/>
    </row>
    <row r="10" spans="3:6" ht="12.75">
      <c r="C10" s="5" t="s">
        <v>157</v>
      </c>
      <c r="E10" s="40"/>
      <c r="F10" s="41"/>
    </row>
    <row r="11" ht="3.75" customHeight="1">
      <c r="E11" s="40"/>
    </row>
    <row r="13" ht="15.75">
      <c r="F13" s="194" t="s">
        <v>158</v>
      </c>
    </row>
    <row r="14" spans="4:7" ht="26.25" customHeight="1">
      <c r="D14" s="34"/>
      <c r="E14" s="195" t="str">
        <f>PC1!C15</f>
        <v>per roomnight:</v>
      </c>
      <c r="F14" s="195" t="str">
        <f>PC1!C16</f>
        <v>variable costs</v>
      </c>
      <c r="G14" s="196">
        <f>DATA!G71</f>
        <v>15.485107721046079</v>
      </c>
    </row>
    <row r="15" spans="6:7" ht="12.75">
      <c r="F15" s="40"/>
      <c r="G15" s="64"/>
    </row>
    <row r="16" spans="6:7" ht="12.75">
      <c r="F16" s="40"/>
      <c r="G16" s="64"/>
    </row>
    <row r="17" spans="2:3" ht="12.75">
      <c r="B17" s="40"/>
      <c r="C17" s="31" t="s">
        <v>159</v>
      </c>
    </row>
    <row r="18" spans="3:11" s="96" customFormat="1" ht="13.5" thickBot="1">
      <c r="C18" s="31" t="s">
        <v>160</v>
      </c>
      <c r="D18" s="97"/>
      <c r="F18" s="40"/>
      <c r="G18" s="40"/>
      <c r="H18" s="40"/>
      <c r="K18" s="267" t="s">
        <v>171</v>
      </c>
    </row>
    <row r="19" spans="3:11" ht="13.5" thickBot="1">
      <c r="C19" s="31" t="s">
        <v>161</v>
      </c>
      <c r="D19" s="44"/>
      <c r="K19" s="270" t="s">
        <v>132</v>
      </c>
    </row>
    <row r="20" spans="3:4" ht="12.75">
      <c r="C20" s="31"/>
      <c r="D20" s="44"/>
    </row>
    <row r="21" ht="6" customHeight="1">
      <c r="D21" s="44"/>
    </row>
    <row r="22" spans="4:6" ht="12.75">
      <c r="D22" s="211" t="s">
        <v>162</v>
      </c>
      <c r="F22" s="178"/>
    </row>
    <row r="23" spans="1:11" s="71" customFormat="1" ht="15.75" customHeight="1">
      <c r="A23" s="100"/>
      <c r="B23" s="5"/>
      <c r="C23" s="5"/>
      <c r="D23" s="44"/>
      <c r="E23" s="5"/>
      <c r="F23" s="5"/>
      <c r="G23" s="5"/>
      <c r="H23" s="5"/>
      <c r="I23" s="5"/>
      <c r="J23" s="5"/>
      <c r="K23" s="5"/>
    </row>
    <row r="24" spans="1:11" s="72" customFormat="1" ht="15.75" customHeight="1">
      <c r="A24" s="99"/>
      <c r="B24" s="5"/>
      <c r="D24" s="40" t="s">
        <v>163</v>
      </c>
      <c r="E24" s="197">
        <f>DATA!H71</f>
        <v>12.922139132139591</v>
      </c>
      <c r="G24" s="40" t="s">
        <v>164</v>
      </c>
      <c r="H24" s="43">
        <f>DATA!I71</f>
        <v>20.84877826427918</v>
      </c>
      <c r="I24" s="5"/>
      <c r="J24" s="5"/>
      <c r="K24" s="5"/>
    </row>
    <row r="25" spans="1:11" s="73" customFormat="1" ht="15.75" customHeight="1">
      <c r="A25" s="101"/>
      <c r="B25" s="5"/>
      <c r="C25" s="5"/>
      <c r="D25" s="44"/>
      <c r="E25" s="5"/>
      <c r="F25" s="5"/>
      <c r="G25" s="5"/>
      <c r="H25" s="5"/>
      <c r="I25" s="5"/>
      <c r="J25" s="5"/>
      <c r="K25" s="5"/>
    </row>
    <row r="26" spans="1:11" s="74" customFormat="1" ht="15.75" customHeight="1">
      <c r="A26" s="102"/>
      <c r="B26" s="5"/>
      <c r="C26" s="5"/>
      <c r="D26" s="44"/>
      <c r="E26" s="5"/>
      <c r="F26" s="5"/>
      <c r="G26" s="5"/>
      <c r="H26" s="5"/>
      <c r="I26" s="5"/>
      <c r="J26" s="5"/>
      <c r="K26" s="5"/>
    </row>
    <row r="27" ht="12.75">
      <c r="E27" s="5" t="s">
        <v>165</v>
      </c>
    </row>
    <row r="28" ht="3.75" customHeight="1"/>
    <row r="29" spans="6:8" ht="13.5" thickBot="1">
      <c r="F29" s="40" t="s">
        <v>168</v>
      </c>
      <c r="G29" s="40" t="s">
        <v>169</v>
      </c>
      <c r="H29" s="40" t="s">
        <v>170</v>
      </c>
    </row>
    <row r="30" spans="3:9" ht="16.5" thickBot="1">
      <c r="C30" s="198"/>
      <c r="D30" s="199" t="s">
        <v>166</v>
      </c>
      <c r="E30" s="200"/>
      <c r="F30" s="201">
        <f>E24</f>
        <v>12.922139132139591</v>
      </c>
      <c r="G30" s="202">
        <f>F30*DATA!C18</f>
        <v>0</v>
      </c>
      <c r="H30" s="203">
        <f>F30+G30</f>
        <v>12.922139132139591</v>
      </c>
      <c r="I30" s="204"/>
    </row>
    <row r="31" spans="3:9" ht="16.5" thickBot="1">
      <c r="C31" s="198"/>
      <c r="D31" s="199" t="s">
        <v>167</v>
      </c>
      <c r="E31" s="200"/>
      <c r="F31" s="201">
        <f>H24</f>
        <v>20.84877826427918</v>
      </c>
      <c r="G31" s="202">
        <f>F31*DATA!C18</f>
        <v>0</v>
      </c>
      <c r="H31" s="203">
        <f>F31+G31</f>
        <v>20.84877826427918</v>
      </c>
      <c r="I31" s="204"/>
    </row>
  </sheetData>
  <hyperlinks>
    <hyperlink ref="K19" location="DATA!A64" display="hier klicken!"/>
    <hyperlink ref="K1" location="Navigation!A1" display="=Navigation!$A$1"/>
  </hyperlinks>
  <printOptions/>
  <pageMargins left="0.7874015748031497" right="0" top="0.5905511811023623" bottom="0" header="0.5118110236220472" footer="0.5118110236220472"/>
  <pageSetup horizontalDpi="600" verticalDpi="600" orientation="landscape" paperSize="9" scale="12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="95" zoomScaleNormal="95" workbookViewId="0" topLeftCell="A1">
      <selection activeCell="C25" sqref="C25"/>
    </sheetView>
  </sheetViews>
  <sheetFormatPr defaultColWidth="11.421875" defaultRowHeight="12.75"/>
  <cols>
    <col min="1" max="1" width="5.421875" style="0" customWidth="1"/>
    <col min="2" max="2" width="18.7109375" style="0" customWidth="1"/>
    <col min="3" max="3" width="10.28125" style="0" customWidth="1"/>
    <col min="4" max="4" width="9.28125" style="0" customWidth="1"/>
    <col min="5" max="7" width="10.7109375" style="0" customWidth="1"/>
    <col min="8" max="8" width="9.00390625" style="0" customWidth="1"/>
    <col min="9" max="9" width="12.00390625" style="0" customWidth="1"/>
    <col min="11" max="11" width="9.421875" style="0" customWidth="1"/>
    <col min="12" max="12" width="4.00390625" style="0" customWidth="1"/>
    <col min="13" max="13" width="9.28125" style="0" customWidth="1"/>
    <col min="14" max="14" width="22.28125" style="0" customWidth="1"/>
  </cols>
  <sheetData>
    <row r="1" spans="1:14" ht="18.75" customHeight="1" thickBot="1">
      <c r="A1" s="9" t="s">
        <v>172</v>
      </c>
      <c r="H1" s="31" t="str">
        <f>DATA!A10</f>
        <v>Hotel:</v>
      </c>
      <c r="K1" s="28" t="str">
        <f>DATA!C10</f>
        <v>Amaryllis</v>
      </c>
      <c r="M1" s="212" t="str">
        <f>Navigation!$A$1</f>
        <v>Nights in white satin</v>
      </c>
      <c r="N1" s="207"/>
    </row>
    <row r="2" ht="6.75" customHeight="1">
      <c r="H2" s="31"/>
    </row>
    <row r="3" spans="1:11" ht="15">
      <c r="A3" s="32" t="str">
        <f>DATA!A16</f>
        <v>Reporting currency:</v>
      </c>
      <c r="B3" s="33"/>
      <c r="C3" s="32" t="str">
        <f>DATA!C16</f>
        <v>SFR</v>
      </c>
      <c r="H3" s="31" t="str">
        <f>DATA!A14</f>
        <v>Year:</v>
      </c>
      <c r="K3" s="9">
        <f>DATA!D30</f>
        <v>2006</v>
      </c>
    </row>
    <row r="4" spans="1:14" ht="15">
      <c r="A4" s="32"/>
      <c r="B4" s="33"/>
      <c r="C4" s="32"/>
      <c r="K4" s="31"/>
      <c r="N4" s="9"/>
    </row>
    <row r="5" spans="1:14" ht="15">
      <c r="A5" s="32"/>
      <c r="B5" s="33"/>
      <c r="C5" s="33"/>
      <c r="D5" s="33"/>
      <c r="E5" s="33"/>
      <c r="F5" s="33"/>
      <c r="G5" s="33"/>
      <c r="H5" s="33"/>
      <c r="I5" s="33"/>
      <c r="J5" s="33"/>
      <c r="K5" s="31"/>
      <c r="N5" s="9"/>
    </row>
    <row r="6" ht="4.5" customHeight="1"/>
    <row r="7" spans="1:11" ht="66.75" customHeight="1">
      <c r="A7" s="16" t="s">
        <v>173</v>
      </c>
      <c r="B7" s="16" t="str">
        <f>DATA!C84</f>
        <v>Customer group</v>
      </c>
      <c r="C7" s="27" t="str">
        <f>DATA!F84</f>
        <v>rooms sold</v>
      </c>
      <c r="D7" s="16" t="str">
        <f>DATA!D84</f>
        <v>average persons p. room</v>
      </c>
      <c r="E7" s="16" t="str">
        <f>DATA!A56</f>
        <v>Room cleaning</v>
      </c>
      <c r="F7" s="16" t="str">
        <f>DATA!A57</f>
        <v>Laundry</v>
      </c>
      <c r="G7" s="16" t="str">
        <f>DATA!A58</f>
        <v>Replacement provision</v>
      </c>
      <c r="H7" s="16" t="str">
        <f>DATA!A59</f>
        <v>Utilities</v>
      </c>
      <c r="I7" s="16" t="str">
        <f>DATA!A60</f>
        <v>Supplies</v>
      </c>
      <c r="J7" s="112" t="s">
        <v>174</v>
      </c>
      <c r="K7" s="113" t="s">
        <v>175</v>
      </c>
    </row>
    <row r="8" spans="1:11" ht="24.75" customHeight="1">
      <c r="A8" s="17">
        <v>1</v>
      </c>
      <c r="B8" s="18" t="str">
        <f>DATA!C85</f>
        <v>local corporate 1</v>
      </c>
      <c r="C8" s="110">
        <f>DATA!F85</f>
        <v>1525</v>
      </c>
      <c r="D8" s="107">
        <f>DATA!D85</f>
        <v>1</v>
      </c>
      <c r="E8" s="104">
        <f>DATA!G$56</f>
        <v>4.85</v>
      </c>
      <c r="F8" s="104">
        <f>DATA!H$57*D8</f>
        <v>2.059861456018821</v>
      </c>
      <c r="G8" s="104">
        <f>DATA!H$58*D8</f>
        <v>0.39210560711018166</v>
      </c>
      <c r="H8" s="104">
        <f>DATA!H$59*D8</f>
        <v>2.4702653247941444</v>
      </c>
      <c r="I8" s="104">
        <f>DATA!H$60*D8</f>
        <v>2.577074892170958</v>
      </c>
      <c r="J8" s="114">
        <f>SUM(E8:I8)</f>
        <v>12.349307280094106</v>
      </c>
      <c r="K8" s="117">
        <f aca="true" t="shared" si="0" ref="K8:K22">RANK(J8,J$8:J$22,0)</f>
        <v>5</v>
      </c>
    </row>
    <row r="9" spans="1:11" ht="15.75">
      <c r="A9" s="20">
        <v>2</v>
      </c>
      <c r="B9" s="21" t="str">
        <f>DATA!C86</f>
        <v>local corporate 2</v>
      </c>
      <c r="C9" s="111">
        <f>DATA!F86</f>
        <v>1500</v>
      </c>
      <c r="D9" s="108">
        <f>DATA!D86</f>
        <v>1</v>
      </c>
      <c r="E9" s="105">
        <f>DATA!G$56</f>
        <v>4.85</v>
      </c>
      <c r="F9" s="105">
        <f>DATA!H$57*D9</f>
        <v>2.059861456018821</v>
      </c>
      <c r="G9" s="105">
        <f>DATA!H$58*D9</f>
        <v>0.39210560711018166</v>
      </c>
      <c r="H9" s="105">
        <f>DATA!H$59*D9</f>
        <v>2.4702653247941444</v>
      </c>
      <c r="I9" s="105">
        <f>DATA!H$60*D9</f>
        <v>2.577074892170958</v>
      </c>
      <c r="J9" s="115">
        <f aca="true" t="shared" si="1" ref="J9:J22">SUM(E9:I9)</f>
        <v>12.349307280094106</v>
      </c>
      <c r="K9" s="118">
        <f t="shared" si="0"/>
        <v>5</v>
      </c>
    </row>
    <row r="10" spans="1:11" ht="15.75">
      <c r="A10" s="20">
        <v>3</v>
      </c>
      <c r="B10" s="21" t="str">
        <f>DATA!C87</f>
        <v>local corporate 3</v>
      </c>
      <c r="C10" s="111">
        <f>DATA!F87</f>
        <v>2800</v>
      </c>
      <c r="D10" s="108">
        <f>DATA!D87</f>
        <v>1</v>
      </c>
      <c r="E10" s="105">
        <f>DATA!G$56</f>
        <v>4.85</v>
      </c>
      <c r="F10" s="105">
        <f>DATA!H$57*D10</f>
        <v>2.059861456018821</v>
      </c>
      <c r="G10" s="105">
        <f>DATA!H$58*D10</f>
        <v>0.39210560711018166</v>
      </c>
      <c r="H10" s="105">
        <f>DATA!H$59*D10</f>
        <v>2.4702653247941444</v>
      </c>
      <c r="I10" s="105">
        <f>DATA!H$60*D10</f>
        <v>2.577074892170958</v>
      </c>
      <c r="J10" s="115">
        <f t="shared" si="1"/>
        <v>12.349307280094106</v>
      </c>
      <c r="K10" s="118">
        <f t="shared" si="0"/>
        <v>5</v>
      </c>
    </row>
    <row r="11" spans="1:11" ht="15.75">
      <c r="A11" s="20">
        <v>4</v>
      </c>
      <c r="B11" s="21" t="str">
        <f>DATA!C88</f>
        <v>local corporate 4</v>
      </c>
      <c r="C11" s="111">
        <f>DATA!F88</f>
        <v>1500</v>
      </c>
      <c r="D11" s="108">
        <f>DATA!D88</f>
        <v>1</v>
      </c>
      <c r="E11" s="105">
        <f>DATA!G$56</f>
        <v>4.85</v>
      </c>
      <c r="F11" s="105">
        <f>DATA!H$57*D11</f>
        <v>2.059861456018821</v>
      </c>
      <c r="G11" s="105">
        <f>DATA!H$58*D11</f>
        <v>0.39210560711018166</v>
      </c>
      <c r="H11" s="105">
        <f>DATA!H$59*D11</f>
        <v>2.4702653247941444</v>
      </c>
      <c r="I11" s="105">
        <f>DATA!H$60*D11</f>
        <v>2.577074892170958</v>
      </c>
      <c r="J11" s="115">
        <f t="shared" si="1"/>
        <v>12.349307280094106</v>
      </c>
      <c r="K11" s="118">
        <f t="shared" si="0"/>
        <v>5</v>
      </c>
    </row>
    <row r="12" spans="1:11" ht="15.75">
      <c r="A12" s="20">
        <v>5</v>
      </c>
      <c r="B12" s="21" t="str">
        <f>DATA!C89</f>
        <v>local corporate 5</v>
      </c>
      <c r="C12" s="111">
        <f>DATA!F89</f>
        <v>4400</v>
      </c>
      <c r="D12" s="108">
        <f>DATA!D89</f>
        <v>1</v>
      </c>
      <c r="E12" s="105">
        <f>DATA!G$56</f>
        <v>4.85</v>
      </c>
      <c r="F12" s="105">
        <f>DATA!H$57*D12</f>
        <v>2.059861456018821</v>
      </c>
      <c r="G12" s="105">
        <f>DATA!H$58*D12</f>
        <v>0.39210560711018166</v>
      </c>
      <c r="H12" s="105">
        <f>DATA!H$59*D12</f>
        <v>2.4702653247941444</v>
      </c>
      <c r="I12" s="105">
        <f>DATA!H$60*D12</f>
        <v>2.577074892170958</v>
      </c>
      <c r="J12" s="115">
        <f t="shared" si="1"/>
        <v>12.349307280094106</v>
      </c>
      <c r="K12" s="118">
        <f t="shared" si="0"/>
        <v>5</v>
      </c>
    </row>
    <row r="13" spans="1:11" ht="15.75">
      <c r="A13" s="20">
        <v>6</v>
      </c>
      <c r="B13" s="21" t="str">
        <f>DATA!C90</f>
        <v>local corporate 6</v>
      </c>
      <c r="C13" s="111">
        <f>DATA!F90</f>
        <v>780</v>
      </c>
      <c r="D13" s="108">
        <f>DATA!D90</f>
        <v>1</v>
      </c>
      <c r="E13" s="105">
        <f>DATA!G$56</f>
        <v>4.85</v>
      </c>
      <c r="F13" s="105">
        <f>DATA!H$57*D13</f>
        <v>2.059861456018821</v>
      </c>
      <c r="G13" s="105">
        <f>DATA!H$58*D13</f>
        <v>0.39210560711018166</v>
      </c>
      <c r="H13" s="105">
        <f>DATA!H$59*D13</f>
        <v>2.4702653247941444</v>
      </c>
      <c r="I13" s="105">
        <f>DATA!H$60*D13</f>
        <v>2.577074892170958</v>
      </c>
      <c r="J13" s="115">
        <f t="shared" si="1"/>
        <v>12.349307280094106</v>
      </c>
      <c r="K13" s="118">
        <f t="shared" si="0"/>
        <v>5</v>
      </c>
    </row>
    <row r="14" spans="1:11" ht="15.75">
      <c r="A14" s="20">
        <v>7</v>
      </c>
      <c r="B14" s="21" t="str">
        <f>DATA!C91</f>
        <v>local corporate 7</v>
      </c>
      <c r="C14" s="111">
        <f>DATA!F91</f>
        <v>3050</v>
      </c>
      <c r="D14" s="108">
        <f>DATA!D91</f>
        <v>1</v>
      </c>
      <c r="E14" s="105">
        <f>DATA!G$56</f>
        <v>4.85</v>
      </c>
      <c r="F14" s="105">
        <f>DATA!H$57*D14</f>
        <v>2.059861456018821</v>
      </c>
      <c r="G14" s="105">
        <f>DATA!H$58*D14</f>
        <v>0.39210560711018166</v>
      </c>
      <c r="H14" s="105">
        <f>DATA!H$59*D14</f>
        <v>2.4702653247941444</v>
      </c>
      <c r="I14" s="105">
        <f>DATA!H$60*D14</f>
        <v>2.577074892170958</v>
      </c>
      <c r="J14" s="115">
        <f t="shared" si="1"/>
        <v>12.349307280094106</v>
      </c>
      <c r="K14" s="118">
        <f t="shared" si="0"/>
        <v>5</v>
      </c>
    </row>
    <row r="15" spans="1:11" ht="15.75">
      <c r="A15" s="20">
        <v>8</v>
      </c>
      <c r="B15" s="21" t="str">
        <f>DATA!C92</f>
        <v>local corporate 8</v>
      </c>
      <c r="C15" s="111">
        <f>DATA!F92</f>
        <v>500</v>
      </c>
      <c r="D15" s="108">
        <f>DATA!D92</f>
        <v>1</v>
      </c>
      <c r="E15" s="105">
        <f>DATA!G$56</f>
        <v>4.85</v>
      </c>
      <c r="F15" s="105">
        <f>DATA!H$57*D15</f>
        <v>2.059861456018821</v>
      </c>
      <c r="G15" s="105">
        <f>DATA!H$58*D15</f>
        <v>0.39210560711018166</v>
      </c>
      <c r="H15" s="105">
        <f>DATA!H$59*D15</f>
        <v>2.4702653247941444</v>
      </c>
      <c r="I15" s="105">
        <f>DATA!H$60*D15</f>
        <v>2.577074892170958</v>
      </c>
      <c r="J15" s="115">
        <f t="shared" si="1"/>
        <v>12.349307280094106</v>
      </c>
      <c r="K15" s="118">
        <f t="shared" si="0"/>
        <v>5</v>
      </c>
    </row>
    <row r="16" spans="1:11" ht="15.75">
      <c r="A16" s="20">
        <v>9</v>
      </c>
      <c r="B16" s="21" t="str">
        <f>DATA!C93</f>
        <v>Week-end</v>
      </c>
      <c r="C16" s="111">
        <f>DATA!F93</f>
        <v>850</v>
      </c>
      <c r="D16" s="108">
        <f>DATA!D93</f>
        <v>1</v>
      </c>
      <c r="E16" s="105">
        <f>DATA!G$56</f>
        <v>4.85</v>
      </c>
      <c r="F16" s="105">
        <f>DATA!H$57*D16</f>
        <v>2.059861456018821</v>
      </c>
      <c r="G16" s="105">
        <f>DATA!H$58*D16</f>
        <v>0.39210560711018166</v>
      </c>
      <c r="H16" s="105">
        <f>DATA!H$59*D16</f>
        <v>2.4702653247941444</v>
      </c>
      <c r="I16" s="105">
        <f>DATA!H$60*D16</f>
        <v>2.577074892170958</v>
      </c>
      <c r="J16" s="115">
        <f t="shared" si="1"/>
        <v>12.349307280094106</v>
      </c>
      <c r="K16" s="118">
        <f t="shared" si="0"/>
        <v>5</v>
      </c>
    </row>
    <row r="17" spans="1:11" ht="15.75">
      <c r="A17" s="20">
        <v>10</v>
      </c>
      <c r="B17" s="21" t="str">
        <f>DATA!C94</f>
        <v>convention</v>
      </c>
      <c r="C17" s="111">
        <f>DATA!F94</f>
        <v>1300</v>
      </c>
      <c r="D17" s="108">
        <f>DATA!D94</f>
        <v>1</v>
      </c>
      <c r="E17" s="105">
        <f>DATA!G$56</f>
        <v>4.85</v>
      </c>
      <c r="F17" s="105">
        <f>DATA!H$57*D17</f>
        <v>2.059861456018821</v>
      </c>
      <c r="G17" s="105">
        <f>DATA!H$58*D17</f>
        <v>0.39210560711018166</v>
      </c>
      <c r="H17" s="105">
        <f>DATA!H$59*D17</f>
        <v>2.4702653247941444</v>
      </c>
      <c r="I17" s="105">
        <f>DATA!H$60*D17</f>
        <v>2.577074892170958</v>
      </c>
      <c r="J17" s="115">
        <f t="shared" si="1"/>
        <v>12.349307280094106</v>
      </c>
      <c r="K17" s="118">
        <f t="shared" si="0"/>
        <v>5</v>
      </c>
    </row>
    <row r="18" spans="1:11" ht="15.75">
      <c r="A18" s="20">
        <v>11</v>
      </c>
      <c r="B18" s="21" t="str">
        <f>DATA!C95</f>
        <v>Walk-In</v>
      </c>
      <c r="C18" s="111">
        <f>DATA!F95</f>
        <v>80</v>
      </c>
      <c r="D18" s="108">
        <f>DATA!D95</f>
        <v>1.625</v>
      </c>
      <c r="E18" s="105">
        <f>DATA!G$56</f>
        <v>4.85</v>
      </c>
      <c r="F18" s="105">
        <f>DATA!H$57*D18</f>
        <v>3.347274866030584</v>
      </c>
      <c r="G18" s="105">
        <f>DATA!H$58*D18</f>
        <v>0.6371716115540452</v>
      </c>
      <c r="H18" s="105">
        <f>DATA!H$59*D18</f>
        <v>4.014181152790485</v>
      </c>
      <c r="I18" s="105">
        <f>DATA!H$60*D18</f>
        <v>4.187746699777807</v>
      </c>
      <c r="J18" s="115">
        <f t="shared" si="1"/>
        <v>17.03637433015292</v>
      </c>
      <c r="K18" s="118">
        <f t="shared" si="0"/>
        <v>4</v>
      </c>
    </row>
    <row r="19" spans="1:11" ht="15.75">
      <c r="A19" s="20">
        <v>12</v>
      </c>
      <c r="B19" s="21" t="str">
        <f>DATA!C96</f>
        <v>Specials</v>
      </c>
      <c r="C19" s="111">
        <f>DATA!F96</f>
        <v>8560</v>
      </c>
      <c r="D19" s="108">
        <f>DATA!D96</f>
        <v>2.044392523364486</v>
      </c>
      <c r="E19" s="105">
        <f>DATA!G$56</f>
        <v>4.85</v>
      </c>
      <c r="F19" s="105">
        <f>DATA!H$57*D19</f>
        <v>4.211165359851562</v>
      </c>
      <c r="G19" s="105">
        <f>DATA!H$58*D19</f>
        <v>0.8016177715453481</v>
      </c>
      <c r="H19" s="105">
        <f>DATA!H$59*D19</f>
        <v>5.050191960735693</v>
      </c>
      <c r="I19" s="105">
        <f>DATA!H$60*D19</f>
        <v>5.268552641704646</v>
      </c>
      <c r="J19" s="115">
        <f t="shared" si="1"/>
        <v>20.18152773383725</v>
      </c>
      <c r="K19" s="118">
        <f t="shared" si="0"/>
        <v>1</v>
      </c>
    </row>
    <row r="20" spans="1:11" ht="15.75">
      <c r="A20" s="20">
        <v>13</v>
      </c>
      <c r="B20" s="21" t="str">
        <f>DATA!C97</f>
        <v>Weddings</v>
      </c>
      <c r="C20" s="111">
        <f>DATA!F97</f>
        <v>395</v>
      </c>
      <c r="D20" s="108">
        <f>DATA!D97</f>
        <v>1.8481012658227849</v>
      </c>
      <c r="E20" s="105">
        <f>DATA!G$56</f>
        <v>4.85</v>
      </c>
      <c r="F20" s="105">
        <f>DATA!H$57*D20</f>
        <v>3.806832564287948</v>
      </c>
      <c r="G20" s="105">
        <f>DATA!H$58*D20</f>
        <v>0.7246508688365383</v>
      </c>
      <c r="H20" s="105">
        <f>DATA!H$59*D20</f>
        <v>4.565300473670191</v>
      </c>
      <c r="I20" s="105">
        <f>DATA!H$60*D20</f>
        <v>4.762695370341264</v>
      </c>
      <c r="J20" s="115">
        <f t="shared" si="1"/>
        <v>18.70947927713594</v>
      </c>
      <c r="K20" s="118">
        <f t="shared" si="0"/>
        <v>2</v>
      </c>
    </row>
    <row r="21" spans="1:11" ht="15.75">
      <c r="A21" s="20">
        <v>14</v>
      </c>
      <c r="B21" s="21" t="str">
        <f>DATA!C98</f>
        <v>Concerts</v>
      </c>
      <c r="C21" s="111">
        <f>DATA!F98</f>
        <v>1570</v>
      </c>
      <c r="D21" s="108">
        <f>DATA!D98</f>
        <v>0.9681528662420382</v>
      </c>
      <c r="E21" s="105">
        <f>DATA!G$56</f>
        <v>4.85</v>
      </c>
      <c r="F21" s="105">
        <f>DATA!H$57*D21</f>
        <v>1.99426077270612</v>
      </c>
      <c r="G21" s="105">
        <f>DATA!H$58*D21</f>
        <v>0.3796181673932969</v>
      </c>
      <c r="H21" s="105">
        <f>DATA!H$59*D21</f>
        <v>2.3915944545777705</v>
      </c>
      <c r="I21" s="105">
        <f>DATA!H$60*D21</f>
        <v>2.4950024433757045</v>
      </c>
      <c r="J21" s="115">
        <f t="shared" si="1"/>
        <v>12.110475838052892</v>
      </c>
      <c r="K21" s="118">
        <f t="shared" si="0"/>
        <v>15</v>
      </c>
    </row>
    <row r="22" spans="1:11" ht="15.75">
      <c r="A22" s="23">
        <v>15</v>
      </c>
      <c r="B22" s="24" t="str">
        <f>DATA!C99</f>
        <v>various</v>
      </c>
      <c r="C22" s="111">
        <f>DATA!F99</f>
        <v>98</v>
      </c>
      <c r="D22" s="109">
        <f>DATA!D99</f>
        <v>1.7346938775510203</v>
      </c>
      <c r="E22" s="106">
        <f>DATA!G$56</f>
        <v>4.85</v>
      </c>
      <c r="F22" s="106">
        <f>DATA!H$57*D22</f>
        <v>3.573229056359179</v>
      </c>
      <c r="G22" s="106">
        <f>DATA!H$58*D22</f>
        <v>0.6801831960074579</v>
      </c>
      <c r="H22" s="106">
        <f>DATA!H$59*D22</f>
        <v>4.285154134846985</v>
      </c>
      <c r="I22" s="106">
        <f>DATA!H$60*D22</f>
        <v>4.470436037439417</v>
      </c>
      <c r="J22" s="116">
        <f t="shared" si="1"/>
        <v>17.85900242465304</v>
      </c>
      <c r="K22" s="119">
        <f t="shared" si="0"/>
        <v>3</v>
      </c>
    </row>
    <row r="23" spans="5:13" s="5" customFormat="1" ht="18.75" customHeight="1">
      <c r="E23" s="34"/>
      <c r="F23" s="34"/>
      <c r="G23" s="34"/>
      <c r="H23" s="34"/>
      <c r="I23" s="34"/>
      <c r="J23" s="34"/>
      <c r="K23" s="34"/>
      <c r="M23"/>
    </row>
    <row r="24" spans="2:8" ht="12.75">
      <c r="B24" s="153" t="s">
        <v>176</v>
      </c>
      <c r="C24" s="154" t="s">
        <v>177</v>
      </c>
      <c r="E24" s="154"/>
      <c r="F24" s="154"/>
      <c r="G24" s="154"/>
      <c r="H24" s="154"/>
    </row>
  </sheetData>
  <conditionalFormatting sqref="A8:J22 B24">
    <cfRule type="expression" priority="1" dxfId="4" stopIfTrue="1">
      <formula>OR($K8=1,$K8=2,$K8=3)</formula>
    </cfRule>
  </conditionalFormatting>
  <conditionalFormatting sqref="K8:K22">
    <cfRule type="cellIs" priority="2" dxfId="4" operator="between" stopIfTrue="1">
      <formula>1</formula>
      <formula>3</formula>
    </cfRule>
  </conditionalFormatting>
  <hyperlinks>
    <hyperlink ref="M1" location="Navigation!A1" display="=Navigation!$A$1"/>
  </hyperlink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2007-10-06T20:32:23Z</cp:lastPrinted>
  <dcterms:created xsi:type="dcterms:W3CDTF">2006-09-06T12:01:48Z</dcterms:created>
  <dcterms:modified xsi:type="dcterms:W3CDTF">2009-12-28T11:15:26Z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