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 K! BS\MWB\MagicFreebies\tyt\"/>
    </mc:Choice>
  </mc:AlternateContent>
  <bookViews>
    <workbookView xWindow="120" yWindow="110" windowWidth="8310" windowHeight="5070"/>
  </bookViews>
  <sheets>
    <sheet name="WELCOME" sheetId="13" r:id="rId1"/>
    <sheet name="Navigation" sheetId="14" r:id="rId2"/>
    <sheet name="DATA" sheetId="1" r:id="rId3"/>
    <sheet name="PC1" sheetId="7" r:id="rId4"/>
    <sheet name="PC2" sheetId="8" r:id="rId5"/>
    <sheet name="PC3" sheetId="9" r:id="rId6"/>
    <sheet name="PC4" sheetId="12" r:id="rId7"/>
    <sheet name="PC5" sheetId="15" r:id="rId8"/>
    <sheet name="BMcost" sheetId="10" r:id="rId9"/>
    <sheet name="BMrev" sheetId="2" r:id="rId10"/>
    <sheet name="BMg" sheetId="16" r:id="rId11"/>
  </sheets>
  <definedNames>
    <definedName name="_xlnm.Print_Area" localSheetId="8">BMcost!$A$1:$K$24</definedName>
    <definedName name="_xlnm.Print_Area" localSheetId="10">BMg!$A$1:$K$21</definedName>
    <definedName name="_xlnm.Print_Area" localSheetId="9">BMrev!$A$1:$N$28</definedName>
    <definedName name="_xlnm.Print_Area" localSheetId="1">Navigation!$A$1:$E$11</definedName>
    <definedName name="_xlnm.Print_Area" localSheetId="3">'PC1'!$A$1:$I$30</definedName>
    <definedName name="_xlnm.Print_Area" localSheetId="4">'PC2'!$A$1:$I$31</definedName>
    <definedName name="_xlnm.Print_Area" localSheetId="5">'PC3'!$A$1:$J$31</definedName>
    <definedName name="_xlnm.Print_Area" localSheetId="6">'PC4'!$A$5:$J$31</definedName>
    <definedName name="_xlnm.Print_Area" localSheetId="7">'PC5'!$A$1:$I$31</definedName>
    <definedName name="_xlnm.Print_Area" localSheetId="0">WELCOME!$A$1:$A$75</definedName>
    <definedName name="Help">Navigation!$A$1</definedName>
  </definedNames>
  <calcPr calcId="152511"/>
</workbook>
</file>

<file path=xl/calcChain.xml><?xml version="1.0" encoding="utf-8"?>
<calcChain xmlns="http://schemas.openxmlformats.org/spreadsheetml/2006/main">
  <c r="A76" i="13" l="1"/>
  <c r="A75" i="13" s="1"/>
  <c r="G56" i="1"/>
  <c r="E9" i="10" s="1"/>
  <c r="D86" i="1"/>
  <c r="D9" i="10" s="1"/>
  <c r="G57" i="1"/>
  <c r="D34" i="1"/>
  <c r="H57" i="1"/>
  <c r="G58" i="1"/>
  <c r="H58" i="1" s="1"/>
  <c r="G9" i="10"/>
  <c r="G59" i="1"/>
  <c r="H59" i="1" s="1"/>
  <c r="H14" i="10" s="1"/>
  <c r="G60" i="1"/>
  <c r="H60" i="1" s="1"/>
  <c r="E8" i="10"/>
  <c r="D85" i="1"/>
  <c r="D8" i="10" s="1"/>
  <c r="G8" i="10" s="1"/>
  <c r="E10" i="10"/>
  <c r="D87" i="1"/>
  <c r="D10" i="10" s="1"/>
  <c r="G10" i="10"/>
  <c r="E11" i="10"/>
  <c r="D88" i="1"/>
  <c r="D11" i="10" s="1"/>
  <c r="G11" i="10" s="1"/>
  <c r="E12" i="10"/>
  <c r="D89" i="1"/>
  <c r="D12" i="10" s="1"/>
  <c r="G12" i="10" s="1"/>
  <c r="E13" i="10"/>
  <c r="D90" i="1"/>
  <c r="D13" i="10" s="1"/>
  <c r="G13" i="10" s="1"/>
  <c r="D91" i="1"/>
  <c r="D14" i="10" s="1"/>
  <c r="E14" i="10"/>
  <c r="E15" i="10"/>
  <c r="D92" i="1"/>
  <c r="D15" i="10" s="1"/>
  <c r="G15" i="10" s="1"/>
  <c r="E16" i="10"/>
  <c r="D93" i="1"/>
  <c r="D16" i="10" s="1"/>
  <c r="G16" i="10" s="1"/>
  <c r="E17" i="10"/>
  <c r="D94" i="1"/>
  <c r="D17" i="10" s="1"/>
  <c r="G17" i="10" s="1"/>
  <c r="E18" i="10"/>
  <c r="D95" i="1"/>
  <c r="D18" i="10" s="1"/>
  <c r="G18" i="10"/>
  <c r="E19" i="10"/>
  <c r="D96" i="1"/>
  <c r="D19" i="10" s="1"/>
  <c r="G19" i="10" s="1"/>
  <c r="D97" i="1"/>
  <c r="D20" i="10" s="1"/>
  <c r="H20" i="10" s="1"/>
  <c r="E20" i="10"/>
  <c r="D98" i="1"/>
  <c r="D21" i="10" s="1"/>
  <c r="H21" i="10"/>
  <c r="E21" i="10"/>
  <c r="E22" i="10"/>
  <c r="D99" i="1"/>
  <c r="D22" i="10" s="1"/>
  <c r="G22" i="10"/>
  <c r="M1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I7" i="10"/>
  <c r="H7" i="10"/>
  <c r="G7" i="10"/>
  <c r="F7" i="10"/>
  <c r="E7" i="10"/>
  <c r="D7" i="10"/>
  <c r="H1" i="10"/>
  <c r="K1" i="10"/>
  <c r="A3" i="10"/>
  <c r="C3" i="10"/>
  <c r="H3" i="10"/>
  <c r="D14" i="1"/>
  <c r="D30" i="1" s="1"/>
  <c r="K3" i="16" s="1"/>
  <c r="B7" i="10"/>
  <c r="C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C5" i="16"/>
  <c r="I1" i="16"/>
  <c r="K1" i="16"/>
  <c r="M1" i="16"/>
  <c r="A3" i="16"/>
  <c r="C3" i="16"/>
  <c r="I3" i="16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7" i="2"/>
  <c r="C14" i="16" s="1"/>
  <c r="D12" i="2"/>
  <c r="D14" i="2"/>
  <c r="D10" i="2"/>
  <c r="D21" i="2"/>
  <c r="D19" i="2"/>
  <c r="G8" i="2"/>
  <c r="J8" i="2" s="1"/>
  <c r="G9" i="2"/>
  <c r="J9" i="2" s="1"/>
  <c r="G10" i="2"/>
  <c r="G11" i="2"/>
  <c r="J11" i="2" s="1"/>
  <c r="G12" i="2"/>
  <c r="G13" i="2"/>
  <c r="J13" i="2" s="1"/>
  <c r="G14" i="2"/>
  <c r="G15" i="2"/>
  <c r="J15" i="2" s="1"/>
  <c r="G16" i="2"/>
  <c r="J16" i="2" s="1"/>
  <c r="G17" i="2"/>
  <c r="J17" i="2" s="1"/>
  <c r="G18" i="2"/>
  <c r="G19" i="2"/>
  <c r="J19" i="2" s="1"/>
  <c r="G20" i="2"/>
  <c r="J20" i="2" s="1"/>
  <c r="G21" i="2"/>
  <c r="J21" i="2" s="1"/>
  <c r="G22" i="2"/>
  <c r="D8" i="2"/>
  <c r="D17" i="2"/>
  <c r="F22" i="2"/>
  <c r="B22" i="2" s="1"/>
  <c r="P1" i="2"/>
  <c r="E3" i="2"/>
  <c r="A3" i="2"/>
  <c r="K3" i="2"/>
  <c r="K1" i="2"/>
  <c r="N1" i="2"/>
  <c r="D9" i="2"/>
  <c r="D11" i="2"/>
  <c r="D13" i="2"/>
  <c r="D15" i="2"/>
  <c r="D16" i="2"/>
  <c r="D18" i="2"/>
  <c r="D20" i="2"/>
  <c r="D22" i="2"/>
  <c r="G7" i="2"/>
  <c r="D7" i="2"/>
  <c r="F41" i="1"/>
  <c r="D41" i="1"/>
  <c r="I56" i="1"/>
  <c r="I66" i="1" s="1"/>
  <c r="I57" i="1"/>
  <c r="I67" i="1" s="1"/>
  <c r="I58" i="1"/>
  <c r="I68" i="1" s="1"/>
  <c r="I59" i="1"/>
  <c r="I69" i="1" s="1"/>
  <c r="I60" i="1"/>
  <c r="I70" i="1" s="1"/>
  <c r="H56" i="1"/>
  <c r="H66" i="1"/>
  <c r="H67" i="1"/>
  <c r="H68" i="1"/>
  <c r="H70" i="1"/>
  <c r="G66" i="1"/>
  <c r="G71" i="1" s="1"/>
  <c r="G14" i="15" s="1"/>
  <c r="G67" i="1"/>
  <c r="G68" i="1"/>
  <c r="G69" i="1"/>
  <c r="G70" i="1"/>
  <c r="J56" i="1"/>
  <c r="J66" i="1" s="1"/>
  <c r="J57" i="1"/>
  <c r="J67" i="1" s="1"/>
  <c r="J58" i="1"/>
  <c r="J68" i="1" s="1"/>
  <c r="J59" i="1"/>
  <c r="J69" i="1" s="1"/>
  <c r="J60" i="1"/>
  <c r="J70" i="1" s="1"/>
  <c r="E64" i="1"/>
  <c r="A67" i="1"/>
  <c r="A68" i="1"/>
  <c r="A69" i="1"/>
  <c r="A70" i="1"/>
  <c r="A66" i="1"/>
  <c r="F45" i="1"/>
  <c r="H45" i="1" s="1"/>
  <c r="D45" i="1"/>
  <c r="E14" i="1"/>
  <c r="F44" i="1" s="1"/>
  <c r="H41" i="1"/>
  <c r="H39" i="1"/>
  <c r="H37" i="1"/>
  <c r="H33" i="1"/>
  <c r="H32" i="1"/>
  <c r="H1" i="1"/>
  <c r="F30" i="1"/>
  <c r="F34" i="1"/>
  <c r="H61" i="1"/>
  <c r="G61" i="1"/>
  <c r="J61" i="1"/>
  <c r="E100" i="1"/>
  <c r="E101" i="1" s="1"/>
  <c r="F100" i="1"/>
  <c r="F101" i="1" s="1"/>
  <c r="D13" i="14"/>
  <c r="D7" i="14"/>
  <c r="D8" i="14"/>
  <c r="D9" i="14"/>
  <c r="A24" i="13" s="1"/>
  <c r="D6" i="14"/>
  <c r="D5" i="14"/>
  <c r="I4" i="7"/>
  <c r="G4" i="7"/>
  <c r="I6" i="7"/>
  <c r="G6" i="7"/>
  <c r="K1" i="7"/>
  <c r="F7" i="7"/>
  <c r="F11" i="7" s="1"/>
  <c r="D17" i="7" s="1"/>
  <c r="F9" i="7"/>
  <c r="D16" i="7"/>
  <c r="G16" i="7" s="1"/>
  <c r="F16" i="7"/>
  <c r="F17" i="7"/>
  <c r="F19" i="7"/>
  <c r="C19" i="7"/>
  <c r="K1" i="8"/>
  <c r="D15" i="8"/>
  <c r="D16" i="8"/>
  <c r="D17" i="8" s="1"/>
  <c r="F22" i="8"/>
  <c r="F6" i="8" s="1"/>
  <c r="F7" i="8" s="1"/>
  <c r="E15" i="8"/>
  <c r="H15" i="8" s="1"/>
  <c r="C22" i="8"/>
  <c r="C27" i="8"/>
  <c r="K1" i="9"/>
  <c r="D17" i="9"/>
  <c r="E17" i="9" s="1"/>
  <c r="H17" i="9" s="1"/>
  <c r="F22" i="9"/>
  <c r="F6" i="9" s="1"/>
  <c r="F7" i="9" s="1"/>
  <c r="H15" i="9"/>
  <c r="H16" i="9"/>
  <c r="D18" i="9"/>
  <c r="E18" i="9" s="1"/>
  <c r="H18" i="9" s="1"/>
  <c r="C22" i="9"/>
  <c r="C27" i="9"/>
  <c r="D22" i="12"/>
  <c r="L1" i="12"/>
  <c r="G22" i="12"/>
  <c r="C22" i="12" s="1"/>
  <c r="I6" i="12"/>
  <c r="I5" i="12"/>
  <c r="J5" i="12"/>
  <c r="C27" i="12"/>
  <c r="K1" i="15"/>
  <c r="F14" i="15"/>
  <c r="E14" i="15"/>
  <c r="A26" i="13"/>
  <c r="A25" i="13"/>
  <c r="A22" i="13"/>
  <c r="A23" i="13"/>
  <c r="A21" i="13"/>
  <c r="C1" i="13"/>
  <c r="C82" i="1" l="1"/>
  <c r="N3" i="2"/>
  <c r="G6" i="15"/>
  <c r="K3" i="10"/>
  <c r="J6" i="12"/>
  <c r="C54" i="1"/>
  <c r="E17" i="8"/>
  <c r="H17" i="8" s="1"/>
  <c r="D18" i="8"/>
  <c r="I71" i="1"/>
  <c r="H24" i="15" s="1"/>
  <c r="F31" i="15" s="1"/>
  <c r="G17" i="7"/>
  <c r="G19" i="7" s="1"/>
  <c r="D19" i="7"/>
  <c r="J71" i="1"/>
  <c r="E30" i="12" s="1"/>
  <c r="K16" i="2"/>
  <c r="C16" i="2" s="1"/>
  <c r="D19" i="9"/>
  <c r="E16" i="8"/>
  <c r="H16" i="8" s="1"/>
  <c r="H69" i="1"/>
  <c r="H71" i="1" s="1"/>
  <c r="K15" i="2"/>
  <c r="C15" i="2" s="1"/>
  <c r="J22" i="2"/>
  <c r="F18" i="2"/>
  <c r="B18" i="2" s="1"/>
  <c r="J18" i="2"/>
  <c r="F14" i="2"/>
  <c r="B14" i="2" s="1"/>
  <c r="J14" i="2"/>
  <c r="F8" i="2"/>
  <c r="B8" i="2" s="1"/>
  <c r="F10" i="2"/>
  <c r="B10" i="2" s="1"/>
  <c r="F12" i="2"/>
  <c r="B12" i="2" s="1"/>
  <c r="F16" i="2"/>
  <c r="B16" i="2" s="1"/>
  <c r="F20" i="2"/>
  <c r="B20" i="2" s="1"/>
  <c r="J10" i="2"/>
  <c r="E23" i="2"/>
  <c r="F9" i="2"/>
  <c r="B9" i="2" s="1"/>
  <c r="F11" i="2"/>
  <c r="B11" i="2" s="1"/>
  <c r="F13" i="2"/>
  <c r="B13" i="2" s="1"/>
  <c r="F15" i="2"/>
  <c r="B15" i="2" s="1"/>
  <c r="F17" i="2"/>
  <c r="B17" i="2" s="1"/>
  <c r="F19" i="2"/>
  <c r="B19" i="2" s="1"/>
  <c r="F21" i="2"/>
  <c r="B21" i="2" s="1"/>
  <c r="J17" i="10"/>
  <c r="G14" i="10"/>
  <c r="G20" i="10"/>
  <c r="G21" i="10"/>
  <c r="J12" i="2"/>
  <c r="I61" i="1"/>
  <c r="D44" i="1"/>
  <c r="H44" i="1" s="1"/>
  <c r="I14" i="10"/>
  <c r="I20" i="10"/>
  <c r="I21" i="10"/>
  <c r="I9" i="10"/>
  <c r="I8" i="10"/>
  <c r="I10" i="10"/>
  <c r="I11" i="10"/>
  <c r="I12" i="10"/>
  <c r="I13" i="10"/>
  <c r="I15" i="10"/>
  <c r="I16" i="10"/>
  <c r="I17" i="10"/>
  <c r="I18" i="10"/>
  <c r="I19" i="10"/>
  <c r="I22" i="10"/>
  <c r="F9" i="10"/>
  <c r="F14" i="10"/>
  <c r="J14" i="10" s="1"/>
  <c r="F20" i="10"/>
  <c r="J20" i="10" s="1"/>
  <c r="F21" i="10"/>
  <c r="F8" i="10"/>
  <c r="J8" i="10" s="1"/>
  <c r="F10" i="10"/>
  <c r="J10" i="10" s="1"/>
  <c r="F11" i="10"/>
  <c r="F12" i="10"/>
  <c r="J12" i="10" s="1"/>
  <c r="F13" i="10"/>
  <c r="J13" i="10" s="1"/>
  <c r="F15" i="10"/>
  <c r="F16" i="10"/>
  <c r="F17" i="10"/>
  <c r="F18" i="10"/>
  <c r="F19" i="10"/>
  <c r="J19" i="10" s="1"/>
  <c r="F22" i="10"/>
  <c r="J9" i="10"/>
  <c r="K17" i="2"/>
  <c r="C17" i="2" s="1"/>
  <c r="K13" i="2"/>
  <c r="C13" i="2" s="1"/>
  <c r="J21" i="10"/>
  <c r="J15" i="10"/>
  <c r="H8" i="10"/>
  <c r="H10" i="10"/>
  <c r="H11" i="10"/>
  <c r="J11" i="10" s="1"/>
  <c r="H12" i="10"/>
  <c r="H13" i="10"/>
  <c r="H15" i="10"/>
  <c r="H16" i="10"/>
  <c r="J16" i="10" s="1"/>
  <c r="H17" i="10"/>
  <c r="H18" i="10"/>
  <c r="J18" i="10" s="1"/>
  <c r="H19" i="10"/>
  <c r="H22" i="10"/>
  <c r="J22" i="10" s="1"/>
  <c r="H9" i="10"/>
  <c r="K16" i="10" l="1"/>
  <c r="H16" i="2"/>
  <c r="I16" i="2" s="1"/>
  <c r="L16" i="2" s="1"/>
  <c r="H19" i="2"/>
  <c r="I19" i="2" s="1"/>
  <c r="L19" i="2" s="1"/>
  <c r="K19" i="10"/>
  <c r="H10" i="2"/>
  <c r="I10" i="2" s="1"/>
  <c r="L10" i="2" s="1"/>
  <c r="K10" i="10"/>
  <c r="H14" i="2"/>
  <c r="I14" i="2" s="1"/>
  <c r="L14" i="2" s="1"/>
  <c r="K14" i="10"/>
  <c r="E12" i="12"/>
  <c r="F12" i="12" s="1"/>
  <c r="I12" i="12" s="1"/>
  <c r="E16" i="12"/>
  <c r="F16" i="12" s="1"/>
  <c r="I16" i="12" s="1"/>
  <c r="E20" i="12"/>
  <c r="F20" i="12" s="1"/>
  <c r="I20" i="12" s="1"/>
  <c r="E13" i="12"/>
  <c r="F13" i="12" s="1"/>
  <c r="I13" i="12" s="1"/>
  <c r="E17" i="12"/>
  <c r="F17" i="12" s="1"/>
  <c r="I17" i="12" s="1"/>
  <c r="E11" i="12"/>
  <c r="E24" i="15"/>
  <c r="F30" i="15" s="1"/>
  <c r="E15" i="12"/>
  <c r="F15" i="12" s="1"/>
  <c r="I15" i="12" s="1"/>
  <c r="E14" i="12"/>
  <c r="F14" i="12" s="1"/>
  <c r="I14" i="12" s="1"/>
  <c r="E18" i="12"/>
  <c r="F18" i="12" s="1"/>
  <c r="I18" i="12" s="1"/>
  <c r="E19" i="12"/>
  <c r="F19" i="12" s="1"/>
  <c r="I19" i="12" s="1"/>
  <c r="H22" i="2"/>
  <c r="I22" i="2" s="1"/>
  <c r="L22" i="2" s="1"/>
  <c r="K22" i="10"/>
  <c r="K20" i="10"/>
  <c r="H20" i="2"/>
  <c r="I20" i="2" s="1"/>
  <c r="L20" i="2" s="1"/>
  <c r="K8" i="10"/>
  <c r="H8" i="2"/>
  <c r="I8" i="2" s="1"/>
  <c r="L8" i="2" s="1"/>
  <c r="H11" i="2"/>
  <c r="I11" i="2" s="1"/>
  <c r="L11" i="2" s="1"/>
  <c r="K11" i="10"/>
  <c r="H18" i="2"/>
  <c r="I18" i="2" s="1"/>
  <c r="L18" i="2" s="1"/>
  <c r="K18" i="10"/>
  <c r="K13" i="10"/>
  <c r="H13" i="2"/>
  <c r="I13" i="2" s="1"/>
  <c r="L13" i="2" s="1"/>
  <c r="K12" i="10"/>
  <c r="H12" i="2"/>
  <c r="I12" i="2" s="1"/>
  <c r="L12" i="2" s="1"/>
  <c r="M12" i="2" s="1"/>
  <c r="K10" i="2"/>
  <c r="C10" i="2" s="1"/>
  <c r="M10" i="2"/>
  <c r="K11" i="2"/>
  <c r="C11" i="2" s="1"/>
  <c r="K21" i="2"/>
  <c r="C21" i="2" s="1"/>
  <c r="K18" i="2"/>
  <c r="C18" i="2" s="1"/>
  <c r="M18" i="2"/>
  <c r="K19" i="2"/>
  <c r="C19" i="2" s="1"/>
  <c r="J23" i="2"/>
  <c r="D19" i="8"/>
  <c r="E18" i="8"/>
  <c r="H18" i="8" s="1"/>
  <c r="K15" i="10"/>
  <c r="H15" i="2"/>
  <c r="I15" i="2" s="1"/>
  <c r="L15" i="2" s="1"/>
  <c r="K17" i="10"/>
  <c r="H17" i="2"/>
  <c r="I17" i="2" s="1"/>
  <c r="L17" i="2" s="1"/>
  <c r="K21" i="10"/>
  <c r="H21" i="2"/>
  <c r="I21" i="2" s="1"/>
  <c r="L21" i="2" s="1"/>
  <c r="K9" i="10"/>
  <c r="H9" i="2"/>
  <c r="I9" i="2" s="1"/>
  <c r="L9" i="2" s="1"/>
  <c r="K12" i="2"/>
  <c r="C12" i="2" s="1"/>
  <c r="C15" i="16"/>
  <c r="C20" i="16" s="1"/>
  <c r="C19" i="16"/>
  <c r="B17" i="16"/>
  <c r="B19" i="16"/>
  <c r="C16" i="16"/>
  <c r="C17" i="16"/>
  <c r="B16" i="16"/>
  <c r="B18" i="16"/>
  <c r="B15" i="16"/>
  <c r="C18" i="16"/>
  <c r="D20" i="9"/>
  <c r="E19" i="9"/>
  <c r="H19" i="9" s="1"/>
  <c r="K8" i="2"/>
  <c r="C8" i="2" s="1"/>
  <c r="K9" i="2"/>
  <c r="C9" i="2" s="1"/>
  <c r="K14" i="2"/>
  <c r="C14" i="2" s="1"/>
  <c r="M14" i="2"/>
  <c r="K22" i="2"/>
  <c r="C22" i="2" s="1"/>
  <c r="K20" i="2"/>
  <c r="C20" i="2" s="1"/>
  <c r="G31" i="15"/>
  <c r="H31" i="15"/>
  <c r="N21" i="2" l="1"/>
  <c r="M21" i="2"/>
  <c r="N15" i="2"/>
  <c r="M15" i="2"/>
  <c r="N11" i="2"/>
  <c r="M11" i="2"/>
  <c r="N20" i="2"/>
  <c r="M20" i="2"/>
  <c r="G30" i="15"/>
  <c r="H30" i="15" s="1"/>
  <c r="N14" i="2"/>
  <c r="N19" i="2"/>
  <c r="M19" i="2"/>
  <c r="D15" i="16"/>
  <c r="C21" i="16"/>
  <c r="D21" i="16" s="1"/>
  <c r="N12" i="2"/>
  <c r="E22" i="12"/>
  <c r="F22" i="12" s="1"/>
  <c r="F11" i="12"/>
  <c r="I11" i="12" s="1"/>
  <c r="I22" i="12" s="1"/>
  <c r="N16" i="2"/>
  <c r="M16" i="2"/>
  <c r="C7" i="16"/>
  <c r="C9" i="16"/>
  <c r="B8" i="16"/>
  <c r="C10" i="16"/>
  <c r="B10" i="16"/>
  <c r="B7" i="16"/>
  <c r="B9" i="16"/>
  <c r="B6" i="16"/>
  <c r="C6" i="16"/>
  <c r="C8" i="16"/>
  <c r="D16" i="16"/>
  <c r="E19" i="8"/>
  <c r="H19" i="8" s="1"/>
  <c r="D20" i="8"/>
  <c r="M13" i="2"/>
  <c r="N13" i="2"/>
  <c r="N22" i="2"/>
  <c r="D22" i="9"/>
  <c r="E22" i="9" s="1"/>
  <c r="E20" i="9"/>
  <c r="H20" i="9" s="1"/>
  <c r="H22" i="9" s="1"/>
  <c r="M22" i="2"/>
  <c r="D18" i="16"/>
  <c r="D17" i="16"/>
  <c r="D19" i="16"/>
  <c r="N9" i="2"/>
  <c r="M9" i="2"/>
  <c r="N17" i="2"/>
  <c r="M17" i="2"/>
  <c r="N18" i="2"/>
  <c r="L23" i="2"/>
  <c r="M23" i="2" s="1"/>
  <c r="M8" i="2"/>
  <c r="N8" i="2"/>
  <c r="N10" i="2"/>
  <c r="E26" i="9" l="1"/>
  <c r="I30" i="9"/>
  <c r="C11" i="16"/>
  <c r="E26" i="12"/>
  <c r="J30" i="12"/>
  <c r="D20" i="16"/>
  <c r="D22" i="8"/>
  <c r="E22" i="8" s="1"/>
  <c r="E20" i="8"/>
  <c r="H20" i="8" s="1"/>
  <c r="H22" i="8" s="1"/>
  <c r="C12" i="16"/>
  <c r="D12" i="16" s="1"/>
  <c r="I30" i="8" l="1"/>
  <c r="E26" i="8"/>
  <c r="D10" i="16"/>
  <c r="D7" i="16"/>
  <c r="D9" i="16"/>
  <c r="D11" i="16"/>
  <c r="D6" i="16"/>
  <c r="D8" i="16"/>
</calcChain>
</file>

<file path=xl/sharedStrings.xml><?xml version="1.0" encoding="utf-8"?>
<sst xmlns="http://schemas.openxmlformats.org/spreadsheetml/2006/main" count="280" uniqueCount="220">
  <si>
    <t>DATENEINGABE</t>
  </si>
  <si>
    <t>Jahr:</t>
  </si>
  <si>
    <t>Hotel:</t>
  </si>
  <si>
    <t>Business-Mix</t>
  </si>
  <si>
    <t>Messe</t>
  </si>
  <si>
    <t>Walk-In</t>
  </si>
  <si>
    <t>Busreisen</t>
  </si>
  <si>
    <t>Touristen</t>
  </si>
  <si>
    <t>Tagungen</t>
  </si>
  <si>
    <t>Musicalgäste</t>
  </si>
  <si>
    <t>Geschäftskunden 1</t>
  </si>
  <si>
    <t>Geschäftskunden 2</t>
  </si>
  <si>
    <t>Geschäftskunden 3</t>
  </si>
  <si>
    <t>Geschäftskunden 4</t>
  </si>
  <si>
    <t>Geschäftskunden 5</t>
  </si>
  <si>
    <t>Geschäftskunden 6</t>
  </si>
  <si>
    <t>Geschäftskunden 7</t>
  </si>
  <si>
    <t>Geschäftskunden 8</t>
  </si>
  <si>
    <t>MwSt.</t>
  </si>
  <si>
    <t>Wochenende</t>
  </si>
  <si>
    <t>Zimmer:</t>
  </si>
  <si>
    <t>Villa Maris</t>
  </si>
  <si>
    <t>Berichtswährung:</t>
  </si>
  <si>
    <t>EUR</t>
  </si>
  <si>
    <t>Total</t>
  </si>
  <si>
    <t>Übernachtungen Vorjahr</t>
  </si>
  <si>
    <t>direkte Eingabe</t>
  </si>
  <si>
    <t>Kosten Wäsche-Ersatz</t>
  </si>
  <si>
    <t>oder Berechnung:</t>
  </si>
  <si>
    <t>Deckungs-beitrag Gesamt</t>
  </si>
  <si>
    <t>Kundensegment</t>
  </si>
  <si>
    <t>Nr.</t>
  </si>
  <si>
    <t>Doppelbelegungsfaktor</t>
  </si>
  <si>
    <t>belegte Zimmer Vorjahr</t>
  </si>
  <si>
    <t>pro Zimmer</t>
  </si>
  <si>
    <t>Umsatz Gesamt</t>
  </si>
  <si>
    <t>Rang Umsatz</t>
  </si>
  <si>
    <t xml:space="preserve">Rang DB </t>
  </si>
  <si>
    <t>DB in % vom Umsatz</t>
  </si>
  <si>
    <t>belegte Zimmer</t>
  </si>
  <si>
    <t>variable Kosten</t>
  </si>
  <si>
    <t>fixe Kosten</t>
  </si>
  <si>
    <t>Rate</t>
  </si>
  <si>
    <t>Rang Menge</t>
  </si>
  <si>
    <t>pro Zimmer:</t>
  </si>
  <si>
    <t xml:space="preserve">Geben Sie Ihre Daten bitte nur in die gelben Felder ein. </t>
  </si>
  <si>
    <t>Überschreiben Sie keine Formelfelder.  Löschen Sie keine Zeilen oder Spalten, da dies die Funktionalität</t>
  </si>
  <si>
    <t>des Tools behindern oder zerstören kann!</t>
  </si>
  <si>
    <t>var. Kosten</t>
  </si>
  <si>
    <t>Fixkosten-Topf</t>
  </si>
  <si>
    <t>Für die Ermittlung wichtiger Kennzahlen sind die Zahlen eines gesamten Jahres nötig.  Bitte geben Sie im folgenden</t>
  </si>
  <si>
    <t xml:space="preserve">Hier werden die Daten für die Ermittlung der variablen Kosten im Zimmerbereich eingegeben.  Sie haben die Wahl zwischen </t>
  </si>
  <si>
    <t>der Eingabe pro Zimmer (z.B. wenn Sie einen Vertrag mit der Reinigungsfirma über einen Festpreis pro Zimmer haben)</t>
  </si>
  <si>
    <t>oder der Eingabe von Gesamtkosten pro Jahr, die dann auf die Übernachtungen heruntergerechnet werden.</t>
  </si>
  <si>
    <t>Summenkontrolle</t>
  </si>
  <si>
    <t>Kosten Wäscherei</t>
  </si>
  <si>
    <t>Umsatz Logisbereich</t>
  </si>
  <si>
    <t>Gewinn / Verlust =</t>
  </si>
  <si>
    <t>Kosten Logisbereich</t>
  </si>
  <si>
    <t xml:space="preserve">Deckungs-beitrag </t>
  </si>
  <si>
    <t>Deckungsbeiträge</t>
  </si>
  <si>
    <t>geteilt durch</t>
  </si>
  <si>
    <t>ergibt:</t>
  </si>
  <si>
    <t>1. Verkaufe nie unterhalb der variablen Kosten.</t>
  </si>
  <si>
    <t>2. Jeder Verkauf über den variablen Kosten schafft einen Deckungsbeitrag (zu den Fixkosten).</t>
  </si>
  <si>
    <t>Gesamt:</t>
  </si>
  <si>
    <t>4. Erst wenn die Summe aller Deckungsbeiträge höher ist als die Fixkosten, entsteht ein Gewinn.</t>
  </si>
  <si>
    <t>weiter:</t>
  </si>
  <si>
    <t>hier klicken!</t>
  </si>
  <si>
    <t>abzüglich Fixkosten</t>
  </si>
  <si>
    <t>um festzustellen, bei welcher Konstellation der höchste Gewinn zu erzielen ist.</t>
  </si>
  <si>
    <t>In den gelben Feldern können Sie mit unterschiedlichen Raten und Belegungszahlen experimentieren,</t>
  </si>
  <si>
    <t>Deckungsbeiträge gesamt</t>
  </si>
  <si>
    <t>mit der Sie normalerweise arbeiten.</t>
  </si>
  <si>
    <t xml:space="preserve">Hier geben Sie bitte die Daten für Ihren "Business-Mix" ist, d.h. die Aufteilung Ihrer Kunden in die Gruppierung, </t>
  </si>
  <si>
    <t>Die Hauptsache ist, dass die Aufteilung Ihr Hotel und Ihre Kundengruppen gut widerspiegelt.</t>
  </si>
  <si>
    <t>Sie sollten hier keine neue Gruppierungen "erfinden".  Sie müssen auch nicht alle vorgegebenen 15 Segmente füllen.</t>
  </si>
  <si>
    <t>Beispiel:</t>
  </si>
  <si>
    <t>variable Kosten pro Zimmer:</t>
  </si>
  <si>
    <t>Fixkosten pro Zimmer:</t>
  </si>
  <si>
    <t>Kosten pro Zimmer:</t>
  </si>
  <si>
    <t>hier geht's weiter:</t>
  </si>
  <si>
    <t>Hier sind die Zimmerverkäufe zu den niedrigen Raten weggelassen. Zwei Dinge fallen auf:  das Hotel macht Verlust,</t>
  </si>
  <si>
    <t>und die Fixkosten pro Zimmer sind gewaltig gestiegen, weil sie sich auf weniger verkaufte Zimmer verteilen!</t>
  </si>
  <si>
    <t>pro Zimmer/Nacht:</t>
  </si>
  <si>
    <t>Kosten pro Zimmer/Nacht</t>
  </si>
  <si>
    <t>Summe Logiskosten</t>
  </si>
  <si>
    <t xml:space="preserve">und hier können Sie </t>
  </si>
  <si>
    <t>selber experimentieren:</t>
  </si>
  <si>
    <t>pro Zimmer / Nacht</t>
  </si>
  <si>
    <t>Personen pro Zimmer</t>
  </si>
  <si>
    <t>davon: Zimmer</t>
  </si>
  <si>
    <t>Anzahl  Zimmer</t>
  </si>
  <si>
    <t>Anzahl Gäste</t>
  </si>
  <si>
    <t>Rate netto (pro Zimmer)</t>
  </si>
  <si>
    <t xml:space="preserve">Energie-Kosten </t>
  </si>
  <si>
    <t xml:space="preserve">Variable Zimmer-Kosten pro Segment </t>
  </si>
  <si>
    <t>Rang var. Kosten</t>
  </si>
  <si>
    <t>variable Kosten gesamt</t>
  </si>
  <si>
    <t>Kosten Zimmer-Reinigung</t>
  </si>
  <si>
    <t>Æ</t>
  </si>
  <si>
    <t>sonstige Kosten (Verbrauchsmaterial etc)</t>
  </si>
  <si>
    <t>DB pro Zimmer / Nacht</t>
  </si>
  <si>
    <t>Muster</t>
  </si>
  <si>
    <t>TOP 3 Gäste-Segmente nach Höhe des Deckungsbeitrages</t>
  </si>
  <si>
    <t>Gäste-Segmente mit negativem Deckungsbeitrag = Verlustgeschäft !</t>
  </si>
  <si>
    <t>Personen</t>
  </si>
  <si>
    <t>Deckungs-beiträge</t>
  </si>
  <si>
    <t>DATEN VORJAHR  und PLANDATEN aktuell</t>
  </si>
  <si>
    <t>VORJAHR</t>
  </si>
  <si>
    <t>PLANDATEN oder Hochrechnung</t>
  </si>
  <si>
    <t>die Daten des letzten vollständigen Geschäftsjahres ein, sowie daneben Ihre Plandaten bzw. die Hochrechnung für das laufende Jahr.</t>
  </si>
  <si>
    <t xml:space="preserve">Kosten </t>
  </si>
  <si>
    <t xml:space="preserve">WILLKOMMEN !   BIENVENUE!   WELCOME!    </t>
  </si>
  <si>
    <t>To the World of  MagicWorkbooks®</t>
  </si>
  <si>
    <t>Das ERFOLGSGEHEIMNIS:</t>
  </si>
  <si>
    <t>Kundenpotential beurteilen können, bevor es die Konkurrenz tut !</t>
  </si>
  <si>
    <t>und eine Menge mehr …</t>
  </si>
  <si>
    <t xml:space="preserve">Makros (die beim Laden Virenwarnungen abgeben), er erfordert keine </t>
  </si>
  <si>
    <t>umfangreichen Excelkenntnisse und keine Programmierkenntnisse.</t>
  </si>
  <si>
    <t>1. Schritt</t>
  </si>
  <si>
    <t>Daten den Erläuterungen entsprechend eingeben.</t>
  </si>
  <si>
    <t>Die Demo-Daten dienen Ihrer Orientierung.</t>
  </si>
  <si>
    <t>2. Schritt</t>
  </si>
  <si>
    <t>FERTIG!</t>
  </si>
  <si>
    <t>Die Auswertungen stehen nun zur Ansicht oder zum Ausdruck bereit!</t>
  </si>
  <si>
    <t>Auswertungen auf einen Blick.  Sie können damit auch per Mausklick</t>
  </si>
  <si>
    <t>zwischen den einzelnen Blättern hin- und herspringen.</t>
  </si>
  <si>
    <t>Viel Erfolg wünscht</t>
  </si>
  <si>
    <t>Und wenn Sie weitere Fragen oder Probleme haben:  kurze email genügt,</t>
  </si>
  <si>
    <t>wir helfen Ihnen!</t>
  </si>
  <si>
    <t>Contact:</t>
  </si>
  <si>
    <t>www.magicworkbooks.com</t>
  </si>
  <si>
    <r>
      <t xml:space="preserve">Blatt </t>
    </r>
    <r>
      <rPr>
        <b/>
        <sz val="12"/>
        <color indexed="60"/>
        <rFont val="Arial"/>
        <family val="2"/>
      </rPr>
      <t>DATA</t>
    </r>
    <r>
      <rPr>
        <b/>
        <sz val="12"/>
        <rFont val="Arial"/>
        <family val="2"/>
      </rPr>
      <t xml:space="preserve"> anklicken</t>
    </r>
  </si>
  <si>
    <r>
      <t xml:space="preserve">Das Hyperlink-Inhaltsverzeichnis </t>
    </r>
    <r>
      <rPr>
        <b/>
        <sz val="12"/>
        <color indexed="12"/>
        <rFont val="Arial"/>
        <family val="2"/>
      </rPr>
      <t>"Navigation"</t>
    </r>
    <r>
      <rPr>
        <b/>
        <sz val="12"/>
        <rFont val="Arial"/>
        <family val="2"/>
      </rPr>
      <t xml:space="preserve"> zeigt Ihnen alle verfügbaren </t>
    </r>
  </si>
  <si>
    <r>
      <t xml:space="preserve">das </t>
    </r>
    <r>
      <rPr>
        <b/>
        <sz val="12"/>
        <color indexed="16"/>
        <rFont val="Arial"/>
        <family val="2"/>
      </rPr>
      <t>MagicWorkbooks</t>
    </r>
    <r>
      <rPr>
        <b/>
        <sz val="12"/>
        <color indexed="16"/>
        <rFont val="Arial"/>
      </rPr>
      <t>®</t>
    </r>
    <r>
      <rPr>
        <b/>
        <sz val="12"/>
        <color indexed="61"/>
        <rFont val="Arial"/>
        <family val="2"/>
      </rPr>
      <t xml:space="preserve"> </t>
    </r>
    <r>
      <rPr>
        <b/>
        <sz val="12"/>
        <rFont val="Arial"/>
        <family val="2"/>
      </rPr>
      <t>Team</t>
    </r>
  </si>
  <si>
    <t xml:space="preserve">I N H A L T </t>
  </si>
  <si>
    <t>Blattbezeichnung</t>
  </si>
  <si>
    <t>Art</t>
  </si>
  <si>
    <t>Beschreibung</t>
  </si>
  <si>
    <t>Buch anklicken um zur Seite zu gelangen!</t>
  </si>
  <si>
    <t>WELCOME</t>
  </si>
  <si>
    <t>Text</t>
  </si>
  <si>
    <t>Einleitung/Bedienungsanleitung/Übersicht</t>
  </si>
  <si>
    <t>&amp;</t>
  </si>
  <si>
    <t>DATA</t>
  </si>
  <si>
    <t>Tabelle</t>
  </si>
  <si>
    <t>Grafik</t>
  </si>
  <si>
    <t>Bmcost</t>
  </si>
  <si>
    <t>Bmrev</t>
  </si>
  <si>
    <t>PC1</t>
  </si>
  <si>
    <t>PC2</t>
  </si>
  <si>
    <t>PC3</t>
  </si>
  <si>
    <t>PC4</t>
  </si>
  <si>
    <t>Die Regeln für das Arbeiten mit Deckungsbeiträgen</t>
  </si>
  <si>
    <t>Rechnen mit Deckungsbeiträgen im Hotel - Teil 1</t>
  </si>
  <si>
    <t>Rechnen mit Deckungsbeiträgen im Hotel - Teil 2</t>
  </si>
  <si>
    <t>Deckungsbeitragsrechnung mit eigenen Daten:  Probieren geht über Studieren!</t>
  </si>
  <si>
    <t>Zur Feinabstimmung sollte man hier noch den sogenannten Doppelbelegungsfaktor heranziehen, denn es macht</t>
  </si>
  <si>
    <t>einen Unterschied bei den variablen Kosten, ob ein Zimmer mit 1 oder mit 2 Personen belegt ist.</t>
  </si>
  <si>
    <t>Deckungsbeitrag und damit ein kleiner Schritt auf dem Weg zum Gewinn.</t>
  </si>
  <si>
    <t>bei 1 Person</t>
  </si>
  <si>
    <t>bei 2 Personen</t>
  </si>
  <si>
    <t>Hierzu werden die variablen Kosten unterteilt in solche, die auf das Zimmer entfallen, und solche, die auf die</t>
  </si>
  <si>
    <t>Personen entfallen.</t>
  </si>
  <si>
    <t>zur Kalkulation siehe:</t>
  </si>
  <si>
    <t>Bei den hier eingegebenen Daten ergibt sich:</t>
  </si>
  <si>
    <t>variable Kosten Einzelbelegung:</t>
  </si>
  <si>
    <t>variable Kosten Doppelbelegung:</t>
  </si>
  <si>
    <t>Die absolute Preisuntergrenze liegt also bei:</t>
  </si>
  <si>
    <t>MwSt</t>
  </si>
  <si>
    <t>brutto</t>
  </si>
  <si>
    <t>netto</t>
  </si>
  <si>
    <t>Einzel ohne Frühstück</t>
  </si>
  <si>
    <t>Doppel ohne Frühstück</t>
  </si>
  <si>
    <t>Nights in white satin</t>
  </si>
  <si>
    <t>Legende</t>
  </si>
  <si>
    <t xml:space="preserve">    Die 3 Gästesegmente mit den höchsten variablen Kosten</t>
  </si>
  <si>
    <t>%-Änderung</t>
  </si>
  <si>
    <t>Zimmerbelegung</t>
  </si>
  <si>
    <t>Rate Durchschnitt</t>
  </si>
  <si>
    <t>Kennzahlen:</t>
  </si>
  <si>
    <t>Mit welchen Preissteigerungen rechnen Sie für das Folgejahr?</t>
  </si>
  <si>
    <t xml:space="preserve">Plan-Deckungsbeitragsrechnung </t>
  </si>
  <si>
    <t xml:space="preserve">Die Preisuntergrenze entspricht den variablen Kosten.  Jeder Cent über den variablen Kosten ist ein Cent </t>
  </si>
  <si>
    <t>Preisuntergrenze (Durchschnitt)</t>
  </si>
  <si>
    <t>Variable Logis-Kosten pro Gäste-Segment Vorjahr</t>
  </si>
  <si>
    <t>Umsatz und Deckungsbeitrag Logis Vorjahr</t>
  </si>
  <si>
    <t>M</t>
  </si>
  <si>
    <t>R</t>
  </si>
  <si>
    <t>TOP 5         Umsatz</t>
  </si>
  <si>
    <t>REST</t>
  </si>
  <si>
    <t>TOTAL</t>
  </si>
  <si>
    <t>%</t>
  </si>
  <si>
    <t>TOP 5     Anzahl Zimmer</t>
  </si>
  <si>
    <t>TOP 5  Umsatz und Übernachtungen Vorjahr</t>
  </si>
  <si>
    <t>BMg</t>
  </si>
  <si>
    <t>Die Preisuntergrenze für das laufende Jahr</t>
  </si>
  <si>
    <t>PC5</t>
  </si>
  <si>
    <t>Ergebnis Logisbereich</t>
  </si>
  <si>
    <t>im Hotel schnell erlernen und ausprobieren.</t>
  </si>
  <si>
    <r>
      <t xml:space="preserve">Einfach auf  </t>
    </r>
    <r>
      <rPr>
        <b/>
        <sz val="12"/>
        <rFont val="Arial"/>
        <family val="2"/>
      </rPr>
      <t xml:space="preserve"> </t>
    </r>
    <r>
      <rPr>
        <b/>
        <i/>
        <sz val="16"/>
        <color indexed="9"/>
        <rFont val="Book Antiqua"/>
        <family val="1"/>
      </rPr>
      <t>Nights in White Satin</t>
    </r>
    <r>
      <rPr>
        <b/>
        <sz val="12"/>
        <rFont val="Arial"/>
        <family val="2"/>
      </rPr>
      <t xml:space="preserve"> </t>
    </r>
    <r>
      <rPr>
        <b/>
        <sz val="12"/>
        <color indexed="55"/>
        <rFont val="Arial"/>
        <family val="2"/>
      </rPr>
      <t xml:space="preserve"> klicken.</t>
    </r>
  </si>
  <si>
    <r>
      <t xml:space="preserve">Blatt </t>
    </r>
    <r>
      <rPr>
        <b/>
        <sz val="12"/>
        <color indexed="60"/>
        <rFont val="Arial"/>
        <family val="2"/>
      </rPr>
      <t>PC 1</t>
    </r>
    <r>
      <rPr>
        <b/>
        <sz val="12"/>
        <rFont val="Arial"/>
        <family val="2"/>
      </rPr>
      <t xml:space="preserve"> anklicken</t>
    </r>
  </si>
  <si>
    <t>Deckungsbeitragsrechnung lernen und üben</t>
  </si>
  <si>
    <t>Sie werden per Mausklick weitergeleitet</t>
  </si>
  <si>
    <r>
      <t xml:space="preserve">Es werden Zimmer zu verschiedenen Raten verkauft, die beiden </t>
    </r>
    <r>
      <rPr>
        <b/>
        <sz val="10"/>
        <color indexed="10"/>
        <rFont val="Arial"/>
        <family val="2"/>
      </rPr>
      <t>rot markierten Raten</t>
    </r>
    <r>
      <rPr>
        <b/>
        <sz val="10"/>
        <rFont val="Arial"/>
        <family val="2"/>
      </rPr>
      <t xml:space="preserve"> sind niedriger als die Kosten</t>
    </r>
  </si>
  <si>
    <r>
      <t xml:space="preserve">pro Zimmer.  Insgesamt macht das Hotel Gewinn. </t>
    </r>
    <r>
      <rPr>
        <b/>
        <sz val="10"/>
        <color indexed="10"/>
        <rFont val="Arial"/>
        <family val="2"/>
      </rPr>
      <t>Steigt der Gewinn, wenn man die niedrigen Segmente weglässt?</t>
    </r>
  </si>
  <si>
    <t>Hier sind Ihre eigenen Kosten-Daten hinterlegt:</t>
  </si>
  <si>
    <t>Hier sind Ihre Kostendaten hinterlegt !</t>
  </si>
  <si>
    <t>3. Die Summe aller Deckungsbeiträge muß mindestens so hoch sein wie die Summe der Fixkosten.</t>
  </si>
  <si>
    <t>Hotel Deckungsbeitragsrechnung</t>
  </si>
  <si>
    <t>Hotel Yield Management</t>
  </si>
  <si>
    <t>Teach Yourself Tool</t>
  </si>
  <si>
    <t>Praktische Lernhilfe</t>
  </si>
  <si>
    <t>Hier können Sie die Grundprinzipien der Deckungsbeitragsrechnung</t>
  </si>
  <si>
    <t>Dieses Tool liefert Ihnen automatisch:</t>
  </si>
  <si>
    <t xml:space="preserve">Dieses Tool wurde als Excel Arbeitsmappe entwickelt.  Er enthält keine </t>
  </si>
  <si>
    <r>
      <t xml:space="preserve">Wie arbeite ich mit  </t>
    </r>
    <r>
      <rPr>
        <b/>
        <sz val="14"/>
        <color indexed="16"/>
        <rFont val="Arial"/>
        <family val="2"/>
      </rPr>
      <t xml:space="preserve"> Hotel Deckungsbeitragsrechnung</t>
    </r>
    <r>
      <rPr>
        <b/>
        <sz val="14"/>
        <rFont val="Arial"/>
        <family val="2"/>
      </rPr>
      <t>?</t>
    </r>
  </si>
  <si>
    <t>und probieren Sie aus, wie Sie Ihr Ergebnis verbessern können.</t>
  </si>
  <si>
    <t>Lernen Sie, mit welchen Kundengruppen Sie das beste Betriebsergebnis erzielen,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</si>
</sst>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5" formatCode="#,##0.0"/>
    <numFmt numFmtId="166" formatCode="#,##0_ ;[Red]\-#,##0\ "/>
    <numFmt numFmtId="167" formatCode="#,##0.00_ ;[Red]\-#,##0.00\ "/>
    <numFmt numFmtId="169" formatCode="#,##0%;[Red]\-#,##0%"/>
    <numFmt numFmtId="170" formatCode="0.0"/>
    <numFmt numFmtId="177" formatCode=";;;"/>
  </numFmts>
  <fonts count="8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2"/>
      <name val="Arial"/>
      <family val="2"/>
    </font>
    <font>
      <b/>
      <i/>
      <sz val="10"/>
      <color indexed="17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9"/>
      <name val="Arial"/>
    </font>
    <font>
      <b/>
      <sz val="10"/>
      <color indexed="16"/>
      <name val="Arial"/>
      <family val="2"/>
    </font>
    <font>
      <sz val="10"/>
      <color indexed="13"/>
      <name val="Arial"/>
    </font>
    <font>
      <b/>
      <i/>
      <sz val="10"/>
      <color indexed="13"/>
      <name val="Arial"/>
      <family val="2"/>
    </font>
    <font>
      <b/>
      <sz val="12"/>
      <color indexed="16"/>
      <name val="Arial"/>
      <family val="2"/>
    </font>
    <font>
      <b/>
      <sz val="16"/>
      <color indexed="13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b/>
      <sz val="10"/>
      <color indexed="17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b/>
      <sz val="11"/>
      <color indexed="12"/>
      <name val="Arial"/>
      <family val="2"/>
    </font>
    <font>
      <b/>
      <sz val="11"/>
      <color indexed="14"/>
      <name val="Arial"/>
      <family val="2"/>
    </font>
    <font>
      <b/>
      <sz val="11"/>
      <color indexed="56"/>
      <name val="Arial"/>
      <family val="2"/>
    </font>
    <font>
      <b/>
      <sz val="11"/>
      <color indexed="17"/>
      <name val="Arial"/>
      <family val="2"/>
    </font>
    <font>
      <b/>
      <i/>
      <sz val="10"/>
      <color indexed="10"/>
      <name val="Arial"/>
      <family val="2"/>
    </font>
    <font>
      <b/>
      <sz val="12"/>
      <name val="Symbol"/>
      <family val="1"/>
      <charset val="2"/>
    </font>
    <font>
      <b/>
      <sz val="8"/>
      <color indexed="12"/>
      <name val="Arial"/>
    </font>
    <font>
      <b/>
      <sz val="8"/>
      <color indexed="16"/>
      <name val="Arial"/>
    </font>
    <font>
      <b/>
      <sz val="9"/>
      <color indexed="12"/>
      <name val="Arial"/>
      <family val="2"/>
    </font>
    <font>
      <b/>
      <sz val="9"/>
      <color indexed="16"/>
      <name val="Arial"/>
      <family val="2"/>
    </font>
    <font>
      <b/>
      <i/>
      <sz val="14"/>
      <name val="Arial"/>
      <family val="2"/>
    </font>
    <font>
      <b/>
      <i/>
      <sz val="12"/>
      <color indexed="13"/>
      <name val="Arial"/>
      <family val="2"/>
    </font>
    <font>
      <sz val="12"/>
      <color indexed="13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</font>
    <font>
      <b/>
      <sz val="8"/>
      <color indexed="10"/>
      <name val="Arial"/>
      <family val="2"/>
    </font>
    <font>
      <u/>
      <sz val="8"/>
      <color indexed="12"/>
      <name val="Arial"/>
    </font>
    <font>
      <b/>
      <sz val="22"/>
      <color indexed="9"/>
      <name val="Arial"/>
      <family val="2"/>
    </font>
    <font>
      <b/>
      <sz val="20"/>
      <color indexed="9"/>
      <name val="Arial"/>
      <family val="2"/>
    </font>
    <font>
      <b/>
      <u/>
      <sz val="8"/>
      <color indexed="53"/>
      <name val="Arial"/>
      <family val="2"/>
    </font>
    <font>
      <b/>
      <i/>
      <sz val="24"/>
      <color indexed="16"/>
      <name val="Arial"/>
      <family val="2"/>
    </font>
    <font>
      <b/>
      <i/>
      <sz val="16"/>
      <color indexed="16"/>
      <name val="Arial"/>
      <family val="2"/>
    </font>
    <font>
      <b/>
      <i/>
      <sz val="14"/>
      <color indexed="57"/>
      <name val="Arial"/>
      <family val="2"/>
    </font>
    <font>
      <b/>
      <i/>
      <sz val="14"/>
      <color indexed="12"/>
      <name val="Arial"/>
      <family val="2"/>
    </font>
    <font>
      <b/>
      <i/>
      <sz val="14"/>
      <color indexed="60"/>
      <name val="Arial"/>
      <family val="2"/>
    </font>
    <font>
      <b/>
      <i/>
      <sz val="18"/>
      <color indexed="11"/>
      <name val="Arial"/>
      <family val="2"/>
    </font>
    <font>
      <b/>
      <i/>
      <sz val="16"/>
      <color indexed="12"/>
      <name val="Arial"/>
      <family val="2"/>
    </font>
    <font>
      <b/>
      <i/>
      <sz val="12"/>
      <color indexed="12"/>
      <name val="Arial"/>
      <family val="2"/>
    </font>
    <font>
      <b/>
      <sz val="14"/>
      <color indexed="16"/>
      <name val="Arial"/>
      <family val="2"/>
    </font>
    <font>
      <b/>
      <sz val="14"/>
      <name val="Arial"/>
      <family val="2"/>
    </font>
    <font>
      <b/>
      <sz val="12"/>
      <color indexed="60"/>
      <name val="Arial"/>
      <family val="2"/>
    </font>
    <font>
      <b/>
      <sz val="12"/>
      <color indexed="17"/>
      <name val="Arial"/>
      <family val="2"/>
    </font>
    <font>
      <b/>
      <sz val="12"/>
      <color indexed="16"/>
      <name val="Arial"/>
    </font>
    <font>
      <b/>
      <sz val="12"/>
      <color indexed="61"/>
      <name val="Arial"/>
      <family val="2"/>
    </font>
    <font>
      <b/>
      <sz val="8"/>
      <color indexed="16"/>
      <name val="Arial"/>
      <family val="2"/>
    </font>
    <font>
      <b/>
      <sz val="16"/>
      <color indexed="41"/>
      <name val="Arial"/>
      <family val="2"/>
    </font>
    <font>
      <b/>
      <sz val="10"/>
      <color indexed="60"/>
      <name val="Arial"/>
      <family val="2"/>
    </font>
    <font>
      <b/>
      <sz val="14"/>
      <color indexed="60"/>
      <name val="Arial"/>
      <family val="2"/>
    </font>
    <font>
      <sz val="36"/>
      <color indexed="16"/>
      <name val="Wingdings"/>
      <charset val="2"/>
    </font>
    <font>
      <b/>
      <i/>
      <sz val="10"/>
      <name val="Arial"/>
      <family val="2"/>
    </font>
    <font>
      <b/>
      <sz val="14"/>
      <color indexed="17"/>
      <name val="Arial"/>
      <family val="2"/>
    </font>
    <font>
      <b/>
      <i/>
      <sz val="18"/>
      <color indexed="9"/>
      <name val="Book Antiqua"/>
      <family val="1"/>
    </font>
    <font>
      <b/>
      <i/>
      <sz val="20"/>
      <color indexed="9"/>
      <name val="Book Antiqua"/>
      <family val="1"/>
    </font>
    <font>
      <b/>
      <i/>
      <sz val="16"/>
      <color indexed="9"/>
      <name val="Book Antiqua"/>
      <family val="1"/>
    </font>
    <font>
      <b/>
      <sz val="10"/>
      <color indexed="13"/>
      <name val="Arial"/>
      <family val="2"/>
    </font>
    <font>
      <b/>
      <sz val="11"/>
      <color indexed="13"/>
      <name val="Arial"/>
      <family val="2"/>
    </font>
    <font>
      <b/>
      <i/>
      <sz val="14"/>
      <color indexed="13"/>
      <name val="Arial"/>
      <family val="2"/>
    </font>
    <font>
      <i/>
      <sz val="10"/>
      <color indexed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sz val="12"/>
      <color indexed="55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53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i/>
      <sz val="14"/>
      <color indexed="16"/>
      <name val="Arial"/>
      <family val="2"/>
    </font>
    <font>
      <b/>
      <i/>
      <sz val="24"/>
      <color indexed="1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17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/>
      <diagonal/>
    </border>
    <border>
      <left style="double">
        <color indexed="60"/>
      </left>
      <right style="double">
        <color indexed="60"/>
      </right>
      <top/>
      <bottom/>
      <diagonal/>
    </border>
    <border>
      <left style="double">
        <color indexed="16"/>
      </left>
      <right style="double">
        <color indexed="16"/>
      </right>
      <top style="thin">
        <color indexed="16"/>
      </top>
      <bottom/>
      <diagonal/>
    </border>
    <border>
      <left style="double">
        <color indexed="16"/>
      </left>
      <right style="double">
        <color indexed="16"/>
      </right>
      <top/>
      <bottom/>
      <diagonal/>
    </border>
    <border>
      <left style="double">
        <color indexed="16"/>
      </left>
      <right style="double">
        <color indexed="16"/>
      </right>
      <top/>
      <bottom style="thin">
        <color indexed="16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ashed">
        <color indexed="53"/>
      </left>
      <right style="dashed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0" fontId="4" fillId="0" borderId="0" xfId="0" applyFont="1"/>
    <xf numFmtId="3" fontId="0" fillId="2" borderId="1" xfId="0" applyNumberFormat="1" applyFill="1" applyBorder="1"/>
    <xf numFmtId="3" fontId="0" fillId="0" borderId="1" xfId="0" applyNumberFormat="1" applyBorder="1"/>
    <xf numFmtId="9" fontId="0" fillId="2" borderId="1" xfId="5" applyFont="1" applyFill="1" applyBorder="1"/>
    <xf numFmtId="4" fontId="0" fillId="0" borderId="1" xfId="0" applyNumberFormat="1" applyFill="1" applyBorder="1" applyAlignment="1">
      <alignment horizontal="right"/>
    </xf>
    <xf numFmtId="4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/>
    <xf numFmtId="3" fontId="0" fillId="0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4" xfId="0" applyFill="1" applyBorder="1"/>
    <xf numFmtId="3" fontId="0" fillId="0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3" fontId="0" fillId="0" borderId="5" xfId="0" applyNumberFormat="1" applyFill="1" applyBorder="1"/>
    <xf numFmtId="4" fontId="2" fillId="0" borderId="1" xfId="0" applyNumberFormat="1" applyFont="1" applyFill="1" applyBorder="1"/>
    <xf numFmtId="0" fontId="0" fillId="0" borderId="6" xfId="0" applyBorder="1" applyAlignment="1">
      <alignment horizontal="center" wrapText="1"/>
    </xf>
    <xf numFmtId="0" fontId="4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/>
    <xf numFmtId="9" fontId="2" fillId="0" borderId="7" xfId="5" applyFont="1" applyFill="1" applyBorder="1"/>
    <xf numFmtId="167" fontId="0" fillId="0" borderId="3" xfId="0" applyNumberFormat="1" applyFill="1" applyBorder="1"/>
    <xf numFmtId="167" fontId="0" fillId="0" borderId="4" xfId="0" applyNumberFormat="1" applyFill="1" applyBorder="1"/>
    <xf numFmtId="167" fontId="0" fillId="0" borderId="5" xfId="0" applyNumberFormat="1" applyFill="1" applyBorder="1"/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2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3" fontId="0" fillId="2" borderId="1" xfId="5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2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3" borderId="0" xfId="0" applyFont="1" applyFill="1"/>
    <xf numFmtId="0" fontId="13" fillId="3" borderId="0" xfId="0" applyFont="1" applyFill="1"/>
    <xf numFmtId="3" fontId="11" fillId="0" borderId="0" xfId="0" applyNumberFormat="1" applyFont="1"/>
    <xf numFmtId="0" fontId="14" fillId="0" borderId="0" xfId="0" applyFont="1" applyAlignment="1">
      <alignment horizontal="left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3" fontId="0" fillId="2" borderId="1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1" xfId="0" applyFont="1" applyBorder="1" applyAlignment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/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Fill="1" applyBorder="1"/>
    <xf numFmtId="0" fontId="6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6" fontId="21" fillId="0" borderId="1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 wrapText="1"/>
    </xf>
    <xf numFmtId="3" fontId="17" fillId="2" borderId="1" xfId="0" applyNumberFormat="1" applyFont="1" applyFill="1" applyBorder="1" applyAlignment="1">
      <alignment horizontal="center" wrapText="1"/>
    </xf>
    <xf numFmtId="0" fontId="15" fillId="3" borderId="0" xfId="0" applyFont="1" applyFill="1"/>
    <xf numFmtId="4" fontId="17" fillId="0" borderId="1" xfId="0" applyNumberFormat="1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0" fontId="2" fillId="4" borderId="0" xfId="0" applyFont="1" applyFill="1"/>
    <xf numFmtId="4" fontId="2" fillId="4" borderId="0" xfId="0" applyNumberFormat="1" applyFont="1" applyFill="1" applyBorder="1" applyAlignment="1">
      <alignment horizontal="right" wrapText="1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4" fontId="2" fillId="4" borderId="8" xfId="0" applyNumberFormat="1" applyFont="1" applyFill="1" applyBorder="1" applyAlignment="1">
      <alignment horizontal="right" wrapText="1"/>
    </xf>
    <xf numFmtId="0" fontId="2" fillId="4" borderId="0" xfId="0" applyFont="1" applyFill="1" applyAlignment="1">
      <alignment horizontal="right"/>
    </xf>
    <xf numFmtId="4" fontId="2" fillId="4" borderId="0" xfId="0" applyNumberFormat="1" applyFont="1" applyFill="1"/>
    <xf numFmtId="0" fontId="2" fillId="0" borderId="0" xfId="0" applyFont="1" applyAlignment="1"/>
    <xf numFmtId="4" fontId="2" fillId="0" borderId="0" xfId="0" applyNumberFormat="1" applyFont="1" applyAlignment="1"/>
    <xf numFmtId="3" fontId="2" fillId="0" borderId="0" xfId="0" applyNumberFormat="1" applyFont="1" applyAlignme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70" fontId="0" fillId="0" borderId="1" xfId="0" applyNumberFormat="1" applyFill="1" applyBorder="1" applyAlignment="1">
      <alignment horizontal="center"/>
    </xf>
    <xf numFmtId="4" fontId="0" fillId="0" borderId="3" xfId="0" applyNumberForma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165" fontId="0" fillId="0" borderId="3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3" fontId="1" fillId="0" borderId="16" xfId="5" applyNumberFormat="1" applyFill="1" applyBorder="1" applyAlignment="1">
      <alignment horizontal="right"/>
    </xf>
    <xf numFmtId="3" fontId="1" fillId="0" borderId="17" xfId="5" applyNumberFormat="1" applyFill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4" fontId="2" fillId="0" borderId="19" xfId="0" applyNumberFormat="1" applyFont="1" applyFill="1" applyBorder="1"/>
    <xf numFmtId="3" fontId="6" fillId="0" borderId="20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5" xfId="0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3" xfId="5" applyNumberFormat="1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6" fontId="0" fillId="0" borderId="3" xfId="0" applyNumberFormat="1" applyFill="1" applyBorder="1"/>
    <xf numFmtId="169" fontId="0" fillId="0" borderId="3" xfId="5" applyNumberFormat="1" applyFont="1" applyFill="1" applyBorder="1"/>
    <xf numFmtId="3" fontId="0" fillId="0" borderId="4" xfId="5" applyNumberFormat="1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166" fontId="0" fillId="0" borderId="4" xfId="0" applyNumberFormat="1" applyFill="1" applyBorder="1"/>
    <xf numFmtId="169" fontId="0" fillId="0" borderId="4" xfId="5" applyNumberFormat="1" applyFont="1" applyFill="1" applyBorder="1"/>
    <xf numFmtId="3" fontId="0" fillId="0" borderId="5" xfId="5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66" fontId="0" fillId="0" borderId="5" xfId="0" applyNumberFormat="1" applyFill="1" applyBorder="1"/>
    <xf numFmtId="169" fontId="0" fillId="0" borderId="5" xfId="5" applyNumberFormat="1" applyFont="1" applyFill="1" applyBorder="1"/>
    <xf numFmtId="3" fontId="6" fillId="0" borderId="3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28" fillId="5" borderId="26" xfId="0" applyFont="1" applyFill="1" applyBorder="1"/>
    <xf numFmtId="0" fontId="29" fillId="6" borderId="27" xfId="0" applyFont="1" applyFill="1" applyBorder="1"/>
    <xf numFmtId="0" fontId="30" fillId="0" borderId="0" xfId="0" applyFont="1"/>
    <xf numFmtId="0" fontId="31" fillId="0" borderId="0" xfId="0" applyFont="1"/>
    <xf numFmtId="165" fontId="17" fillId="2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3" fillId="3" borderId="0" xfId="0" applyFont="1" applyFill="1"/>
    <xf numFmtId="0" fontId="34" fillId="3" borderId="0" xfId="0" applyFont="1" applyFill="1"/>
    <xf numFmtId="0" fontId="36" fillId="5" borderId="18" xfId="0" applyFont="1" applyFill="1" applyBorder="1"/>
    <xf numFmtId="0" fontId="37" fillId="0" borderId="0" xfId="0" applyFont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39" fillId="7" borderId="28" xfId="0" applyFont="1" applyFill="1" applyBorder="1" applyAlignment="1" applyProtection="1">
      <alignment horizontal="center" vertical="center"/>
      <protection hidden="1"/>
    </xf>
    <xf numFmtId="0" fontId="40" fillId="7" borderId="29" xfId="0" applyFont="1" applyFill="1" applyBorder="1" applyAlignment="1" applyProtection="1">
      <alignment horizontal="center" vertical="center"/>
      <protection hidden="1"/>
    </xf>
    <xf numFmtId="0" fontId="41" fillId="0" borderId="0" xfId="3" applyFont="1" applyAlignment="1" applyProtection="1"/>
    <xf numFmtId="0" fontId="42" fillId="0" borderId="30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46" fillId="0" borderId="31" xfId="0" applyFont="1" applyFill="1" applyBorder="1" applyAlignment="1">
      <alignment horizontal="center"/>
    </xf>
    <xf numFmtId="0" fontId="47" fillId="8" borderId="31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/>
    </xf>
    <xf numFmtId="0" fontId="51" fillId="9" borderId="31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53" fillId="9" borderId="31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57" fillId="10" borderId="33" xfId="0" applyFont="1" applyFill="1" applyBorder="1" applyAlignment="1">
      <alignment horizontal="left"/>
    </xf>
    <xf numFmtId="0" fontId="2" fillId="10" borderId="33" xfId="0" applyFont="1" applyFill="1" applyBorder="1"/>
    <xf numFmtId="0" fontId="2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8" fillId="5" borderId="34" xfId="0" applyFont="1" applyFill="1" applyBorder="1" applyAlignment="1">
      <alignment horizontal="center" vertical="center" wrapText="1"/>
    </xf>
    <xf numFmtId="0" fontId="59" fillId="9" borderId="35" xfId="0" applyFont="1" applyFill="1" applyBorder="1" applyAlignment="1">
      <alignment horizontal="left" vertical="center"/>
    </xf>
    <xf numFmtId="0" fontId="2" fillId="9" borderId="35" xfId="0" applyFont="1" applyFill="1" applyBorder="1" applyAlignment="1">
      <alignment horizontal="center" vertical="center"/>
    </xf>
    <xf numFmtId="0" fontId="51" fillId="2" borderId="3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vertical="center"/>
    </xf>
    <xf numFmtId="0" fontId="60" fillId="11" borderId="37" xfId="3" applyNumberFormat="1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61" fillId="12" borderId="37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/>
    <xf numFmtId="4" fontId="2" fillId="0" borderId="0" xfId="0" applyNumberFormat="1" applyFont="1" applyAlignment="1">
      <alignment horizontal="center"/>
    </xf>
    <xf numFmtId="0" fontId="19" fillId="0" borderId="38" xfId="0" applyFont="1" applyBorder="1"/>
    <xf numFmtId="0" fontId="19" fillId="0" borderId="39" xfId="0" applyFont="1" applyBorder="1" applyAlignment="1">
      <alignment horizontal="center"/>
    </xf>
    <xf numFmtId="0" fontId="19" fillId="0" borderId="39" xfId="0" applyFont="1" applyBorder="1"/>
    <xf numFmtId="4" fontId="19" fillId="0" borderId="39" xfId="0" applyNumberFormat="1" applyFont="1" applyBorder="1" applyAlignment="1"/>
    <xf numFmtId="4" fontId="19" fillId="0" borderId="39" xfId="0" applyNumberFormat="1" applyFont="1" applyBorder="1" applyAlignment="1">
      <alignment horizontal="right"/>
    </xf>
    <xf numFmtId="4" fontId="53" fillId="0" borderId="39" xfId="0" applyNumberFormat="1" applyFont="1" applyBorder="1" applyAlignment="1">
      <alignment horizontal="right"/>
    </xf>
    <xf numFmtId="0" fontId="19" fillId="0" borderId="40" xfId="0" applyFont="1" applyBorder="1"/>
    <xf numFmtId="0" fontId="64" fillId="10" borderId="41" xfId="0" applyFont="1" applyFill="1" applyBorder="1"/>
    <xf numFmtId="0" fontId="63" fillId="13" borderId="41" xfId="4" applyFont="1" applyFill="1" applyBorder="1" applyAlignment="1" applyProtection="1">
      <alignment vertical="center"/>
    </xf>
    <xf numFmtId="0" fontId="63" fillId="13" borderId="42" xfId="0" applyFont="1" applyFill="1" applyBorder="1" applyAlignment="1">
      <alignment vertical="center"/>
    </xf>
    <xf numFmtId="0" fontId="63" fillId="13" borderId="43" xfId="4" applyFont="1" applyFill="1" applyBorder="1" applyAlignment="1" applyProtection="1">
      <alignment vertical="center"/>
    </xf>
    <xf numFmtId="0" fontId="63" fillId="13" borderId="44" xfId="0" applyFont="1" applyFill="1" applyBorder="1" applyAlignment="1">
      <alignment vertical="center"/>
    </xf>
    <xf numFmtId="0" fontId="63" fillId="13" borderId="45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65" fillId="13" borderId="41" xfId="4" applyFont="1" applyFill="1" applyBorder="1" applyAlignment="1" applyProtection="1">
      <alignment vertical="center"/>
    </xf>
    <xf numFmtId="0" fontId="66" fillId="3" borderId="0" xfId="0" applyFont="1" applyFill="1"/>
    <xf numFmtId="0" fontId="67" fillId="3" borderId="46" xfId="0" applyFont="1" applyFill="1" applyBorder="1"/>
    <xf numFmtId="0" fontId="67" fillId="3" borderId="47" xfId="0" applyFont="1" applyFill="1" applyBorder="1"/>
    <xf numFmtId="0" fontId="66" fillId="3" borderId="48" xfId="0" applyFont="1" applyFill="1" applyBorder="1"/>
    <xf numFmtId="0" fontId="67" fillId="3" borderId="49" xfId="0" applyFont="1" applyFill="1" applyBorder="1"/>
    <xf numFmtId="0" fontId="67" fillId="3" borderId="50" xfId="0" applyFont="1" applyFill="1" applyBorder="1"/>
    <xf numFmtId="0" fontId="66" fillId="3" borderId="51" xfId="0" applyFont="1" applyFill="1" applyBorder="1"/>
    <xf numFmtId="0" fontId="68" fillId="3" borderId="0" xfId="0" applyFont="1" applyFill="1"/>
    <xf numFmtId="0" fontId="45" fillId="0" borderId="0" xfId="0" applyFont="1"/>
    <xf numFmtId="0" fontId="69" fillId="0" borderId="0" xfId="0" applyFont="1"/>
    <xf numFmtId="0" fontId="45" fillId="0" borderId="0" xfId="0" applyFont="1" applyAlignment="1">
      <alignment horizontal="right"/>
    </xf>
    <xf numFmtId="0" fontId="49" fillId="0" borderId="0" xfId="0" applyFont="1"/>
    <xf numFmtId="0" fontId="8" fillId="0" borderId="0" xfId="0" applyFont="1" applyAlignment="1">
      <alignment horizontal="right"/>
    </xf>
    <xf numFmtId="0" fontId="70" fillId="0" borderId="0" xfId="0" applyFont="1" applyAlignment="1">
      <alignment horizontal="right"/>
    </xf>
    <xf numFmtId="0" fontId="70" fillId="0" borderId="0" xfId="0" applyFont="1"/>
    <xf numFmtId="10" fontId="0" fillId="0" borderId="1" xfId="5" applyNumberFormat="1" applyFont="1" applyBorder="1"/>
    <xf numFmtId="3" fontId="0" fillId="0" borderId="0" xfId="0" applyNumberFormat="1" applyBorder="1"/>
    <xf numFmtId="10" fontId="0" fillId="0" borderId="0" xfId="5" applyNumberFormat="1" applyFont="1" applyBorder="1"/>
    <xf numFmtId="4" fontId="0" fillId="0" borderId="1" xfId="0" applyNumberFormat="1" applyBorder="1"/>
    <xf numFmtId="0" fontId="27" fillId="0" borderId="0" xfId="0" applyFont="1" applyBorder="1" applyAlignment="1">
      <alignment horizontal="right"/>
    </xf>
    <xf numFmtId="9" fontId="0" fillId="2" borderId="1" xfId="5" applyFont="1" applyFill="1" applyBorder="1" applyAlignment="1">
      <alignment horizontal="center"/>
    </xf>
    <xf numFmtId="0" fontId="62" fillId="0" borderId="0" xfId="0" applyFont="1" applyAlignment="1">
      <alignment horizontal="left"/>
    </xf>
    <xf numFmtId="0" fontId="0" fillId="0" borderId="52" xfId="0" applyBorder="1" applyAlignment="1">
      <alignment horizontal="center"/>
    </xf>
    <xf numFmtId="0" fontId="0" fillId="0" borderId="53" xfId="0" applyFill="1" applyBorder="1"/>
    <xf numFmtId="3" fontId="0" fillId="0" borderId="54" xfId="0" applyNumberFormat="1" applyFill="1" applyBorder="1"/>
    <xf numFmtId="3" fontId="0" fillId="0" borderId="55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0" fontId="0" fillId="4" borderId="54" xfId="0" applyFill="1" applyBorder="1" applyAlignment="1">
      <alignment horizontal="center"/>
    </xf>
    <xf numFmtId="0" fontId="0" fillId="12" borderId="55" xfId="0" applyFill="1" applyBorder="1" applyAlignment="1">
      <alignment horizontal="center"/>
    </xf>
    <xf numFmtId="0" fontId="0" fillId="14" borderId="55" xfId="0" applyFill="1" applyBorder="1" applyAlignment="1">
      <alignment horizontal="center"/>
    </xf>
    <xf numFmtId="0" fontId="0" fillId="15" borderId="55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0" fontId="2" fillId="0" borderId="58" xfId="0" applyFont="1" applyBorder="1"/>
    <xf numFmtId="9" fontId="2" fillId="0" borderId="58" xfId="0" applyNumberFormat="1" applyFont="1" applyBorder="1" applyAlignment="1">
      <alignment horizontal="right"/>
    </xf>
    <xf numFmtId="9" fontId="2" fillId="0" borderId="0" xfId="0" applyNumberFormat="1" applyFont="1" applyBorder="1" applyAlignment="1">
      <alignment horizontal="right"/>
    </xf>
    <xf numFmtId="9" fontId="0" fillId="0" borderId="54" xfId="5" applyFont="1" applyFill="1" applyBorder="1"/>
    <xf numFmtId="9" fontId="0" fillId="0" borderId="55" xfId="5" applyFont="1" applyFill="1" applyBorder="1"/>
    <xf numFmtId="9" fontId="0" fillId="0" borderId="56" xfId="5" applyFont="1" applyFill="1" applyBorder="1"/>
    <xf numFmtId="9" fontId="0" fillId="0" borderId="57" xfId="5" applyFont="1" applyFill="1" applyBorder="1"/>
    <xf numFmtId="0" fontId="2" fillId="0" borderId="57" xfId="0" applyFont="1" applyBorder="1" applyAlignment="1">
      <alignment horizontal="center" wrapText="1"/>
    </xf>
    <xf numFmtId="0" fontId="2" fillId="0" borderId="57" xfId="0" applyFont="1" applyBorder="1" applyAlignment="1">
      <alignment horizontal="right" wrapText="1"/>
    </xf>
    <xf numFmtId="0" fontId="71" fillId="0" borderId="54" xfId="0" applyFont="1" applyFill="1" applyBorder="1"/>
    <xf numFmtId="0" fontId="71" fillId="0" borderId="55" xfId="0" applyFont="1" applyFill="1" applyBorder="1"/>
    <xf numFmtId="0" fontId="71" fillId="0" borderId="56" xfId="0" applyFont="1" applyFill="1" applyBorder="1"/>
    <xf numFmtId="0" fontId="0" fillId="16" borderId="54" xfId="0" applyFill="1" applyBorder="1" applyAlignment="1">
      <alignment horizontal="center"/>
    </xf>
    <xf numFmtId="0" fontId="0" fillId="17" borderId="55" xfId="0" applyFill="1" applyBorder="1" applyAlignment="1">
      <alignment horizontal="center"/>
    </xf>
    <xf numFmtId="0" fontId="0" fillId="18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19" borderId="55" xfId="0" applyFill="1" applyBorder="1" applyAlignment="1">
      <alignment horizontal="center"/>
    </xf>
    <xf numFmtId="0" fontId="2" fillId="0" borderId="59" xfId="0" applyFont="1" applyBorder="1"/>
    <xf numFmtId="0" fontId="62" fillId="0" borderId="0" xfId="0" applyFont="1" applyAlignment="1">
      <alignment horizontal="center"/>
    </xf>
    <xf numFmtId="0" fontId="72" fillId="13" borderId="31" xfId="0" applyFont="1" applyFill="1" applyBorder="1" applyAlignment="1">
      <alignment horizontal="center"/>
    </xf>
    <xf numFmtId="0" fontId="73" fillId="0" borderId="0" xfId="0" applyFont="1"/>
    <xf numFmtId="0" fontId="74" fillId="20" borderId="60" xfId="2" applyFont="1" applyFill="1" applyBorder="1" applyAlignment="1" applyProtection="1"/>
    <xf numFmtId="0" fontId="74" fillId="20" borderId="60" xfId="2" applyFont="1" applyFill="1" applyBorder="1" applyAlignment="1" applyProtection="1">
      <alignment horizontal="center"/>
    </xf>
    <xf numFmtId="0" fontId="75" fillId="20" borderId="60" xfId="2" applyFont="1" applyFill="1" applyBorder="1" applyAlignment="1" applyProtection="1">
      <alignment horizontal="center"/>
    </xf>
    <xf numFmtId="4" fontId="16" fillId="20" borderId="1" xfId="0" applyNumberFormat="1" applyFont="1" applyFill="1" applyBorder="1" applyAlignment="1">
      <alignment horizontal="center" wrapText="1"/>
    </xf>
    <xf numFmtId="4" fontId="17" fillId="20" borderId="1" xfId="0" applyNumberFormat="1" applyFont="1" applyFill="1" applyBorder="1" applyAlignment="1">
      <alignment horizontal="center" wrapText="1"/>
    </xf>
    <xf numFmtId="0" fontId="53" fillId="0" borderId="0" xfId="0" applyFont="1" applyAlignment="1">
      <alignment horizontal="left"/>
    </xf>
    <xf numFmtId="0" fontId="76" fillId="0" borderId="0" xfId="0" applyFont="1" applyAlignment="1">
      <alignment horizontal="center"/>
    </xf>
    <xf numFmtId="0" fontId="75" fillId="20" borderId="0" xfId="0" applyFont="1" applyFill="1"/>
    <xf numFmtId="0" fontId="75" fillId="20" borderId="0" xfId="0" applyFont="1" applyFill="1" applyAlignment="1">
      <alignment horizontal="right"/>
    </xf>
    <xf numFmtId="4" fontId="75" fillId="20" borderId="0" xfId="0" applyNumberFormat="1" applyFont="1" applyFill="1" applyBorder="1" applyAlignment="1">
      <alignment horizontal="right" wrapText="1"/>
    </xf>
    <xf numFmtId="4" fontId="75" fillId="20" borderId="0" xfId="0" applyNumberFormat="1" applyFont="1" applyFill="1"/>
    <xf numFmtId="4" fontId="2" fillId="20" borderId="1" xfId="0" applyNumberFormat="1" applyFont="1" applyFill="1" applyBorder="1" applyAlignment="1">
      <alignment horizontal="center" wrapText="1"/>
    </xf>
    <xf numFmtId="3" fontId="17" fillId="20" borderId="1" xfId="0" applyNumberFormat="1" applyFont="1" applyFill="1" applyBorder="1" applyAlignment="1">
      <alignment horizontal="center" wrapText="1"/>
    </xf>
    <xf numFmtId="3" fontId="2" fillId="20" borderId="1" xfId="0" applyNumberFormat="1" applyFont="1" applyFill="1" applyBorder="1"/>
    <xf numFmtId="0" fontId="75" fillId="20" borderId="61" xfId="0" applyFont="1" applyFill="1" applyBorder="1"/>
    <xf numFmtId="0" fontId="75" fillId="20" borderId="61" xfId="0" applyFont="1" applyFill="1" applyBorder="1" applyAlignment="1">
      <alignment horizontal="right"/>
    </xf>
    <xf numFmtId="4" fontId="75" fillId="20" borderId="61" xfId="0" applyNumberFormat="1" applyFont="1" applyFill="1" applyBorder="1" applyAlignment="1">
      <alignment horizontal="right" wrapText="1"/>
    </xf>
    <xf numFmtId="0" fontId="74" fillId="20" borderId="0" xfId="0" applyFont="1" applyFill="1"/>
    <xf numFmtId="0" fontId="77" fillId="20" borderId="0" xfId="0" applyFont="1" applyFill="1"/>
    <xf numFmtId="0" fontId="74" fillId="21" borderId="0" xfId="0" applyFont="1" applyFill="1"/>
    <xf numFmtId="0" fontId="77" fillId="21" borderId="0" xfId="0" applyFont="1" applyFill="1"/>
    <xf numFmtId="0" fontId="6" fillId="14" borderId="0" xfId="0" applyFont="1" applyFill="1"/>
    <xf numFmtId="0" fontId="78" fillId="14" borderId="0" xfId="0" applyFont="1" applyFill="1"/>
    <xf numFmtId="0" fontId="23" fillId="0" borderId="0" xfId="0" applyFont="1" applyFill="1"/>
    <xf numFmtId="0" fontId="74" fillId="0" borderId="0" xfId="0" applyFont="1" applyFill="1"/>
    <xf numFmtId="0" fontId="77" fillId="0" borderId="0" xfId="0" applyFont="1" applyFill="1"/>
    <xf numFmtId="0" fontId="16" fillId="0" borderId="0" xfId="0" applyFont="1" applyFill="1"/>
    <xf numFmtId="0" fontId="74" fillId="0" borderId="0" xfId="2" applyFont="1" applyFill="1" applyBorder="1" applyAlignment="1" applyProtection="1"/>
    <xf numFmtId="0" fontId="22" fillId="0" borderId="0" xfId="0" applyFont="1" applyFill="1"/>
    <xf numFmtId="0" fontId="6" fillId="0" borderId="0" xfId="0" applyFont="1" applyFill="1"/>
    <xf numFmtId="0" fontId="78" fillId="0" borderId="0" xfId="0" applyFont="1" applyFill="1"/>
    <xf numFmtId="0" fontId="17" fillId="0" borderId="0" xfId="0" applyFont="1" applyFill="1"/>
    <xf numFmtId="0" fontId="24" fillId="0" borderId="0" xfId="0" applyFont="1" applyFill="1"/>
    <xf numFmtId="0" fontId="18" fillId="0" borderId="0" xfId="0" applyFont="1" applyFill="1"/>
    <xf numFmtId="0" fontId="79" fillId="0" borderId="0" xfId="0" applyFont="1"/>
    <xf numFmtId="0" fontId="79" fillId="0" borderId="0" xfId="0" applyFont="1" applyAlignment="1">
      <alignment wrapText="1"/>
    </xf>
    <xf numFmtId="0" fontId="6" fillId="2" borderId="0" xfId="0" applyFont="1" applyFill="1"/>
    <xf numFmtId="0" fontId="78" fillId="2" borderId="0" xfId="0" applyFont="1" applyFill="1"/>
    <xf numFmtId="0" fontId="44" fillId="0" borderId="31" xfId="0" applyFont="1" applyFill="1" applyBorder="1" applyAlignment="1">
      <alignment horizontal="center"/>
    </xf>
    <xf numFmtId="0" fontId="79" fillId="0" borderId="31" xfId="0" applyFont="1" applyFill="1" applyBorder="1" applyAlignment="1">
      <alignment horizontal="center"/>
    </xf>
    <xf numFmtId="0" fontId="48" fillId="0" borderId="31" xfId="0" applyFont="1" applyFill="1" applyBorder="1" applyAlignment="1">
      <alignment horizontal="center"/>
    </xf>
    <xf numFmtId="0" fontId="48" fillId="5" borderId="31" xfId="0" applyFont="1" applyFill="1" applyBorder="1" applyAlignment="1">
      <alignment horizontal="center"/>
    </xf>
    <xf numFmtId="0" fontId="80" fillId="10" borderId="42" xfId="0" applyNumberFormat="1" applyFont="1" applyFill="1" applyBorder="1" applyAlignment="1">
      <alignment horizontal="right"/>
    </xf>
    <xf numFmtId="0" fontId="56" fillId="0" borderId="32" xfId="2" applyFont="1" applyBorder="1" applyAlignment="1" applyProtection="1">
      <alignment horizontal="center"/>
    </xf>
    <xf numFmtId="177" fontId="0" fillId="0" borderId="0" xfId="0" applyNumberFormat="1"/>
    <xf numFmtId="0" fontId="2" fillId="0" borderId="6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</cellXfs>
  <cellStyles count="6">
    <cellStyle name="Euro" xfId="1"/>
    <cellStyle name="Hyperlink_HotelBenchmarker" xfId="3"/>
    <cellStyle name="Hyperlink_HotelKeyAccounter" xfId="4"/>
    <cellStyle name="Link" xfId="2" builtinId="8"/>
    <cellStyle name="Prozent" xfId="5" builtinId="5"/>
    <cellStyle name="Standard" xfId="0" builtinId="0"/>
  </cellStyles>
  <dxfs count="17">
    <dxf>
      <font>
        <b/>
        <i val="0"/>
        <condense val="0"/>
        <extend val="0"/>
        <color indexed="16"/>
      </font>
      <fill>
        <patternFill>
          <bgColor indexed="22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22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22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4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47"/>
        </patternFill>
      </fill>
      <border>
        <left/>
        <right/>
        <top/>
        <bottom/>
      </border>
    </dxf>
    <dxf>
      <fill>
        <patternFill>
          <bgColor indexed="15"/>
        </patternFill>
      </fill>
      <border>
        <left/>
        <right/>
        <top/>
        <bottom/>
      </border>
    </dxf>
    <dxf>
      <fill>
        <patternFill>
          <bgColor indexed="47"/>
        </patternFill>
      </fill>
      <border>
        <left/>
        <right/>
        <top/>
        <bottom/>
      </border>
    </dxf>
    <dxf>
      <fill>
        <patternFill>
          <bgColor indexed="15"/>
        </patternFill>
      </fill>
      <border>
        <left/>
        <right/>
        <top/>
        <bottom/>
      </border>
    </dxf>
    <dxf>
      <fill>
        <patternFill>
          <bgColor indexed="47"/>
        </patternFill>
      </fill>
      <border>
        <left/>
        <right/>
        <top/>
        <bottom/>
      </border>
    </dxf>
    <dxf>
      <fill>
        <patternFill>
          <bgColor indexed="1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222"/>
      <c:rotY val="10"/>
      <c:depthPercent val="4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351866681838585E-2"/>
          <c:y val="5.2493572869435054E-2"/>
          <c:w val="0.88316718352379497"/>
          <c:h val="0.8188997367631868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BMg!$A$6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BMg!$C$6:$C$6</c:f>
              <c:numCache>
                <c:formatCode>#,##0</c:formatCode>
                <c:ptCount val="1"/>
                <c:pt idx="0">
                  <c:v>330000</c:v>
                </c:pt>
              </c:numCache>
            </c:numRef>
          </c:val>
        </c:ser>
        <c:ser>
          <c:idx val="1"/>
          <c:order val="1"/>
          <c:tx>
            <c:strRef>
              <c:f>BMg!$A$7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BMg!$C$7:$C$7</c:f>
              <c:numCache>
                <c:formatCode>#,##0</c:formatCode>
                <c:ptCount val="1"/>
                <c:pt idx="0">
                  <c:v>238000</c:v>
                </c:pt>
              </c:numCache>
            </c:numRef>
          </c:val>
        </c:ser>
        <c:ser>
          <c:idx val="2"/>
          <c:order val="2"/>
          <c:tx>
            <c:strRef>
              <c:f>BMg!$A$8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BMg!$C$8:$C$8</c:f>
              <c:numCache>
                <c:formatCode>#,##0</c:formatCode>
                <c:ptCount val="1"/>
                <c:pt idx="0">
                  <c:v>201500</c:v>
                </c:pt>
              </c:numCache>
            </c:numRef>
          </c:val>
        </c:ser>
        <c:ser>
          <c:idx val="3"/>
          <c:order val="3"/>
          <c:tx>
            <c:strRef>
              <c:f>BMg!$A$9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BMg!$C$9:$C$9</c:f>
              <c:numCache>
                <c:formatCode>#,##0</c:formatCode>
                <c:ptCount val="1"/>
                <c:pt idx="0">
                  <c:v>198250</c:v>
                </c:pt>
              </c:numCache>
            </c:numRef>
          </c:val>
        </c:ser>
        <c:ser>
          <c:idx val="4"/>
          <c:order val="4"/>
          <c:tx>
            <c:strRef>
              <c:f>BMg!$A$10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BMg!$C$10:$C$10</c:f>
              <c:numCache>
                <c:formatCode>#,##0</c:formatCode>
                <c:ptCount val="1"/>
                <c:pt idx="0">
                  <c:v>144875</c:v>
                </c:pt>
              </c:numCache>
            </c:numRef>
          </c:val>
        </c:ser>
        <c:ser>
          <c:idx val="5"/>
          <c:order val="5"/>
          <c:tx>
            <c:strRef>
              <c:f>BMg!$A$11</c:f>
              <c:strCache>
                <c:ptCount val="1"/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BMg!$B$5:$C$5</c:f>
              <c:strCache>
                <c:ptCount val="2"/>
                <c:pt idx="0">
                  <c:v>TOP 5         Umsatz</c:v>
                </c:pt>
                <c:pt idx="1">
                  <c:v>Umsatz Gesamt</c:v>
                </c:pt>
              </c:strCache>
            </c:strRef>
          </c:cat>
          <c:val>
            <c:numRef>
              <c:f>BMg!$C$11:$C$11</c:f>
              <c:numCache>
                <c:formatCode>#,##0</c:formatCode>
                <c:ptCount val="1"/>
                <c:pt idx="0">
                  <c:v>629946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cylinder"/>
        <c:axId val="236303072"/>
        <c:axId val="236296016"/>
        <c:axId val="0"/>
      </c:bar3DChart>
      <c:catAx>
        <c:axId val="236303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29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29601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303072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 prstMaterial="matte"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215"/>
      <c:rotY val="10"/>
      <c:depthPercent val="4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345618413687061E-2"/>
          <c:y val="5.0761672954041846E-2"/>
          <c:w val="0.87734882799991198"/>
          <c:h val="0.8248771855031800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BMg!$A$15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BMg!$C$15:$C$15</c:f>
              <c:numCache>
                <c:formatCode>#,##0</c:formatCode>
                <c:ptCount val="1"/>
                <c:pt idx="0">
                  <c:v>8560</c:v>
                </c:pt>
              </c:numCache>
            </c:numRef>
          </c:val>
        </c:ser>
        <c:ser>
          <c:idx val="1"/>
          <c:order val="1"/>
          <c:tx>
            <c:strRef>
              <c:f>BMg!$A$16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BMg!$C$16:$C$16</c:f>
              <c:numCache>
                <c:formatCode>#,##0</c:formatCode>
                <c:ptCount val="1"/>
                <c:pt idx="0">
                  <c:v>4400</c:v>
                </c:pt>
              </c:numCache>
            </c:numRef>
          </c:val>
        </c:ser>
        <c:ser>
          <c:idx val="2"/>
          <c:order val="2"/>
          <c:tx>
            <c:strRef>
              <c:f>BMg!$A$17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BMg!$C$17:$C$17</c:f>
              <c:numCache>
                <c:formatCode>#,##0</c:formatCode>
                <c:ptCount val="1"/>
                <c:pt idx="0">
                  <c:v>3050</c:v>
                </c:pt>
              </c:numCache>
            </c:numRef>
          </c:val>
        </c:ser>
        <c:ser>
          <c:idx val="3"/>
          <c:order val="3"/>
          <c:tx>
            <c:strRef>
              <c:f>BMg!$A$18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BMg!$C$18:$C$18</c:f>
              <c:numCache>
                <c:formatCode>#,##0</c:formatCode>
                <c:ptCount val="1"/>
                <c:pt idx="0">
                  <c:v>2800</c:v>
                </c:pt>
              </c:numCache>
            </c:numRef>
          </c:val>
        </c:ser>
        <c:ser>
          <c:idx val="4"/>
          <c:order val="4"/>
          <c:tx>
            <c:strRef>
              <c:f>BMg!$A$19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BMg!$C$19:$C$19</c:f>
              <c:numCache>
                <c:formatCode>#,##0</c:formatCode>
                <c:ptCount val="1"/>
                <c:pt idx="0">
                  <c:v>1570</c:v>
                </c:pt>
              </c:numCache>
            </c:numRef>
          </c:val>
        </c:ser>
        <c:ser>
          <c:idx val="5"/>
          <c:order val="5"/>
          <c:tx>
            <c:strRef>
              <c:f>BMg!$A$20</c:f>
              <c:strCache>
                <c:ptCount val="1"/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invertIfNegative val="0"/>
          <c:cat>
            <c:strRef>
              <c:f>BMg!$B$14:$C$14</c:f>
              <c:strCache>
                <c:ptCount val="2"/>
                <c:pt idx="0">
                  <c:v>TOP 5     Anzahl Zimmer</c:v>
                </c:pt>
                <c:pt idx="1">
                  <c:v>Anzahl  Zimmer</c:v>
                </c:pt>
              </c:strCache>
            </c:strRef>
          </c:cat>
          <c:val>
            <c:numRef>
              <c:f>BMg!$C$20:$C$20</c:f>
              <c:numCache>
                <c:formatCode>#,##0</c:formatCode>
                <c:ptCount val="1"/>
                <c:pt idx="0">
                  <c:v>8528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cylinder"/>
        <c:axId val="236297192"/>
        <c:axId val="236296800"/>
        <c:axId val="0"/>
      </c:bar3DChart>
      <c:catAx>
        <c:axId val="236297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29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29680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297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5</xdr:row>
      <xdr:rowOff>19050</xdr:rowOff>
    </xdr:from>
    <xdr:to>
      <xdr:col>6</xdr:col>
      <xdr:colOff>120650</xdr:colOff>
      <xdr:row>12</xdr:row>
      <xdr:rowOff>107950</xdr:rowOff>
    </xdr:to>
    <xdr:sp macro="" textlink="">
      <xdr:nvSpPr>
        <xdr:cNvPr id="3078" name="AutoShape 6"/>
        <xdr:cNvSpPr>
          <a:spLocks noChangeArrowheads="1"/>
        </xdr:cNvSpPr>
      </xdr:nvSpPr>
      <xdr:spPr bwMode="auto">
        <a:xfrm>
          <a:off x="1955800" y="908050"/>
          <a:ext cx="2914650" cy="125730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6600" mc:Ignorable="a14" a14:legacySpreadsheetColorIndex="53">
            <a:alpha val="39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50800</xdr:colOff>
      <xdr:row>14</xdr:row>
      <xdr:rowOff>114300</xdr:rowOff>
    </xdr:from>
    <xdr:to>
      <xdr:col>4</xdr:col>
      <xdr:colOff>361950</xdr:colOff>
      <xdr:row>19</xdr:row>
      <xdr:rowOff>222250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190500" y="2501900"/>
          <a:ext cx="2774950" cy="110490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6600" mc:Ignorable="a14" a14:legacySpreadsheetColorIndex="53">
            <a:alpha val="39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749300</xdr:colOff>
      <xdr:row>14</xdr:row>
      <xdr:rowOff>107950</xdr:rowOff>
    </xdr:from>
    <xdr:to>
      <xdr:col>7</xdr:col>
      <xdr:colOff>400050</xdr:colOff>
      <xdr:row>19</xdr:row>
      <xdr:rowOff>171450</xdr:rowOff>
    </xdr:to>
    <xdr:sp macro="" textlink="">
      <xdr:nvSpPr>
        <xdr:cNvPr id="3081" name="AutoShape 9"/>
        <xdr:cNvSpPr>
          <a:spLocks noChangeArrowheads="1"/>
        </xdr:cNvSpPr>
      </xdr:nvSpPr>
      <xdr:spPr bwMode="auto">
        <a:xfrm>
          <a:off x="3352800" y="2495550"/>
          <a:ext cx="2895600" cy="10604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6600" mc:Ignorable="a14" a14:legacySpreadsheetColorIndex="53">
            <a:alpha val="39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50800</xdr:colOff>
      <xdr:row>0</xdr:row>
      <xdr:rowOff>82550</xdr:rowOff>
    </xdr:from>
    <xdr:to>
      <xdr:col>8</xdr:col>
      <xdr:colOff>622300</xdr:colOff>
      <xdr:row>2</xdr:row>
      <xdr:rowOff>127000</xdr:rowOff>
    </xdr:to>
    <xdr:sp macro="" textlink="">
      <xdr:nvSpPr>
        <xdr:cNvPr id="3082" name="WordArt 10"/>
        <xdr:cNvSpPr>
          <a:spLocks noChangeArrowheads="1" noChangeShapeType="1" noTextEdit="1"/>
        </xdr:cNvSpPr>
      </xdr:nvSpPr>
      <xdr:spPr bwMode="auto">
        <a:xfrm>
          <a:off x="50800" y="82550"/>
          <a:ext cx="7505700" cy="514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Deckungsbeitragsrechnung im Hotel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24</xdr:row>
      <xdr:rowOff>127000</xdr:rowOff>
    </xdr:from>
    <xdr:to>
      <xdr:col>7</xdr:col>
      <xdr:colOff>190500</xdr:colOff>
      <xdr:row>30</xdr:row>
      <xdr:rowOff>139700</xdr:rowOff>
    </xdr:to>
    <xdr:sp macro="" textlink="">
      <xdr:nvSpPr>
        <xdr:cNvPr id="4098" name="AutoShape 2"/>
        <xdr:cNvSpPr>
          <a:spLocks noChangeArrowheads="1"/>
        </xdr:cNvSpPr>
      </xdr:nvSpPr>
      <xdr:spPr bwMode="auto">
        <a:xfrm>
          <a:off x="787400" y="3930650"/>
          <a:ext cx="4457700" cy="1422400"/>
        </a:xfrm>
        <a:prstGeom prst="can">
          <a:avLst>
            <a:gd name="adj" fmla="val 31847"/>
          </a:avLst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39999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679450</xdr:colOff>
      <xdr:row>12</xdr:row>
      <xdr:rowOff>317500</xdr:rowOff>
    </xdr:from>
    <xdr:to>
      <xdr:col>7</xdr:col>
      <xdr:colOff>101600</xdr:colOff>
      <xdr:row>25</xdr:row>
      <xdr:rowOff>139700</xdr:rowOff>
    </xdr:to>
    <xdr:sp macro="" textlink="">
      <xdr:nvSpPr>
        <xdr:cNvPr id="4099" name="AutoShape 3"/>
        <xdr:cNvSpPr>
          <a:spLocks noChangeArrowheads="1"/>
        </xdr:cNvSpPr>
      </xdr:nvSpPr>
      <xdr:spPr bwMode="auto">
        <a:xfrm rot="5590193">
          <a:off x="3197225" y="2149475"/>
          <a:ext cx="1847850" cy="2070100"/>
        </a:xfrm>
        <a:custGeom>
          <a:avLst/>
          <a:gdLst>
            <a:gd name="G0" fmla="+- -136704 0 0"/>
            <a:gd name="G1" fmla="+- -4712438 0 0"/>
            <a:gd name="G2" fmla="+- -136704 0 -4712438"/>
            <a:gd name="G3" fmla="+- 10800 0 0"/>
            <a:gd name="G4" fmla="+- 0 0 -136704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588 0 0"/>
            <a:gd name="G9" fmla="+- 0 0 -4712438"/>
            <a:gd name="G10" fmla="+- 9588 0 2700"/>
            <a:gd name="G11" fmla="cos G10 -136704"/>
            <a:gd name="G12" fmla="sin G10 -136704"/>
            <a:gd name="G13" fmla="cos 13500 -136704"/>
            <a:gd name="G14" fmla="sin 13500 -136704"/>
            <a:gd name="G15" fmla="+- G11 10800 0"/>
            <a:gd name="G16" fmla="+- G12 10800 0"/>
            <a:gd name="G17" fmla="+- G13 10800 0"/>
            <a:gd name="G18" fmla="+- G14 10800 0"/>
            <a:gd name="G19" fmla="*/ 9588 1 2"/>
            <a:gd name="G20" fmla="+- G19 5400 0"/>
            <a:gd name="G21" fmla="cos G20 -136704"/>
            <a:gd name="G22" fmla="sin G20 -136704"/>
            <a:gd name="G23" fmla="+- G21 10800 0"/>
            <a:gd name="G24" fmla="+- G12 G23 G22"/>
            <a:gd name="G25" fmla="+- G22 G23 G11"/>
            <a:gd name="G26" fmla="cos 10800 -136704"/>
            <a:gd name="G27" fmla="sin 10800 -136704"/>
            <a:gd name="G28" fmla="cos 9588 -136704"/>
            <a:gd name="G29" fmla="sin 9588 -136704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4712438"/>
            <a:gd name="G36" fmla="sin G34 -4712438"/>
            <a:gd name="G37" fmla="+/ -4712438 -136704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588 G39"/>
            <a:gd name="G43" fmla="sin 9588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9425 w 21600"/>
            <a:gd name="T5" fmla="*/ 4300 h 21600"/>
            <a:gd name="T6" fmla="*/ 13966 w 21600"/>
            <a:gd name="T7" fmla="*/ 1110 h 21600"/>
            <a:gd name="T8" fmla="*/ 18457 w 21600"/>
            <a:gd name="T9" fmla="*/ 5030 h 21600"/>
            <a:gd name="T10" fmla="*/ 24291 w 21600"/>
            <a:gd name="T11" fmla="*/ 10308 h 21600"/>
            <a:gd name="T12" fmla="*/ 21108 w 21600"/>
            <a:gd name="T13" fmla="*/ 13732 h 21600"/>
            <a:gd name="T14" fmla="*/ 17683 w 21600"/>
            <a:gd name="T15" fmla="*/ 10549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381" y="10451"/>
              </a:moveTo>
              <a:cubicBezTo>
                <a:pt x="20235" y="6433"/>
                <a:pt x="17598" y="2934"/>
                <a:pt x="13777" y="1686"/>
              </a:cubicBezTo>
              <a:lnTo>
                <a:pt x="14154" y="534"/>
              </a:lnTo>
              <a:cubicBezTo>
                <a:pt x="18458" y="1940"/>
                <a:pt x="21428" y="5882"/>
                <a:pt x="21592" y="10406"/>
              </a:cubicBezTo>
              <a:lnTo>
                <a:pt x="24291" y="10308"/>
              </a:lnTo>
              <a:lnTo>
                <a:pt x="21108" y="13732"/>
              </a:lnTo>
              <a:lnTo>
                <a:pt x="17683" y="10549"/>
              </a:lnTo>
              <a:lnTo>
                <a:pt x="20381" y="10451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730250</xdr:colOff>
      <xdr:row>28</xdr:row>
      <xdr:rowOff>95250</xdr:rowOff>
    </xdr:from>
    <xdr:to>
      <xdr:col>8</xdr:col>
      <xdr:colOff>177800</xdr:colOff>
      <xdr:row>38</xdr:row>
      <xdr:rowOff>57150</xdr:rowOff>
    </xdr:to>
    <xdr:sp macro="" textlink="">
      <xdr:nvSpPr>
        <xdr:cNvPr id="4100" name="AutoShape 4"/>
        <xdr:cNvSpPr>
          <a:spLocks noChangeArrowheads="1"/>
        </xdr:cNvSpPr>
      </xdr:nvSpPr>
      <xdr:spPr bwMode="auto">
        <a:xfrm rot="17735636">
          <a:off x="4321175" y="4562475"/>
          <a:ext cx="1924050" cy="2311400"/>
        </a:xfrm>
        <a:custGeom>
          <a:avLst/>
          <a:gdLst>
            <a:gd name="G0" fmla="+- 1008380 0 0"/>
            <a:gd name="G1" fmla="+- -3912702 0 0"/>
            <a:gd name="G2" fmla="+- 1008380 0 -3912702"/>
            <a:gd name="G3" fmla="+- 10800 0 0"/>
            <a:gd name="G4" fmla="+- 0 0 1008380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817 0 0"/>
            <a:gd name="G9" fmla="+- 0 0 -3912702"/>
            <a:gd name="G10" fmla="+- 9817 0 2700"/>
            <a:gd name="G11" fmla="cos G10 1008380"/>
            <a:gd name="G12" fmla="sin G10 1008380"/>
            <a:gd name="G13" fmla="cos 13500 1008380"/>
            <a:gd name="G14" fmla="sin 13500 1008380"/>
            <a:gd name="G15" fmla="+- G11 10800 0"/>
            <a:gd name="G16" fmla="+- G12 10800 0"/>
            <a:gd name="G17" fmla="+- G13 10800 0"/>
            <a:gd name="G18" fmla="+- G14 10800 0"/>
            <a:gd name="G19" fmla="*/ 9817 1 2"/>
            <a:gd name="G20" fmla="+- G19 5400 0"/>
            <a:gd name="G21" fmla="cos G20 1008380"/>
            <a:gd name="G22" fmla="sin G20 1008380"/>
            <a:gd name="G23" fmla="+- G21 10800 0"/>
            <a:gd name="G24" fmla="+- G12 G23 G22"/>
            <a:gd name="G25" fmla="+- G22 G23 G11"/>
            <a:gd name="G26" fmla="cos 10800 1008380"/>
            <a:gd name="G27" fmla="sin 10800 1008380"/>
            <a:gd name="G28" fmla="cos 9817 1008380"/>
            <a:gd name="G29" fmla="sin 9817 1008380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3912702"/>
            <a:gd name="G36" fmla="sin G34 -3912702"/>
            <a:gd name="G37" fmla="+/ -3912702 1008380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817 G39"/>
            <a:gd name="G43" fmla="sin 9817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20802 w 21600"/>
            <a:gd name="T5" fmla="*/ 6726 h 21600"/>
            <a:gd name="T6" fmla="*/ 16000 w 21600"/>
            <a:gd name="T7" fmla="*/ 1898 h 21600"/>
            <a:gd name="T8" fmla="*/ 19891 w 21600"/>
            <a:gd name="T9" fmla="*/ 7097 h 21600"/>
            <a:gd name="T10" fmla="*/ 23816 w 21600"/>
            <a:gd name="T11" fmla="*/ 14381 h 21600"/>
            <a:gd name="T12" fmla="*/ 19892 w 21600"/>
            <a:gd name="T13" fmla="*/ 16613 h 21600"/>
            <a:gd name="T14" fmla="*/ 17661 w 21600"/>
            <a:gd name="T15" fmla="*/ 12688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265" y="13404"/>
              </a:moveTo>
              <a:cubicBezTo>
                <a:pt x="20498" y="12556"/>
                <a:pt x="20617" y="11680"/>
                <a:pt x="20617" y="10800"/>
              </a:cubicBezTo>
              <a:cubicBezTo>
                <a:pt x="20617" y="7310"/>
                <a:pt x="18765" y="4083"/>
                <a:pt x="15752" y="2323"/>
              </a:cubicBezTo>
              <a:lnTo>
                <a:pt x="16248" y="1475"/>
              </a:lnTo>
              <a:cubicBezTo>
                <a:pt x="19562" y="3411"/>
                <a:pt x="21600" y="6961"/>
                <a:pt x="21600" y="10800"/>
              </a:cubicBezTo>
              <a:cubicBezTo>
                <a:pt x="21600" y="11768"/>
                <a:pt x="21469" y="12732"/>
                <a:pt x="21212" y="13665"/>
              </a:cubicBezTo>
              <a:lnTo>
                <a:pt x="23816" y="14381"/>
              </a:lnTo>
              <a:lnTo>
                <a:pt x="19892" y="16613"/>
              </a:lnTo>
              <a:lnTo>
                <a:pt x="17661" y="12688"/>
              </a:lnTo>
              <a:lnTo>
                <a:pt x="20265" y="13404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88900</xdr:colOff>
      <xdr:row>0</xdr:row>
      <xdr:rowOff>63500</xdr:rowOff>
    </xdr:from>
    <xdr:to>
      <xdr:col>8</xdr:col>
      <xdr:colOff>1644650</xdr:colOff>
      <xdr:row>2</xdr:row>
      <xdr:rowOff>107950</xdr:rowOff>
    </xdr:to>
    <xdr:sp macro="" textlink="">
      <xdr:nvSpPr>
        <xdr:cNvPr id="4101" name="WordArt 5"/>
        <xdr:cNvSpPr>
          <a:spLocks noChangeArrowheads="1" noChangeShapeType="1" noTextEdit="1"/>
        </xdr:cNvSpPr>
      </xdr:nvSpPr>
      <xdr:spPr bwMode="auto">
        <a:xfrm>
          <a:off x="88900" y="63500"/>
          <a:ext cx="7816850" cy="514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Rechnen mit Deckungsbeiträgen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57150</xdr:rowOff>
    </xdr:from>
    <xdr:to>
      <xdr:col>8</xdr:col>
      <xdr:colOff>1644650</xdr:colOff>
      <xdr:row>2</xdr:row>
      <xdr:rowOff>95250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88900" y="57150"/>
          <a:ext cx="7683500" cy="508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Rechnen mit Deckungsbeiträgen</a:t>
          </a:r>
        </a:p>
      </xdr:txBody>
    </xdr:sp>
    <xdr:clientData/>
  </xdr:twoCellAnchor>
  <xdr:twoCellAnchor>
    <xdr:from>
      <xdr:col>2</xdr:col>
      <xdr:colOff>19050</xdr:colOff>
      <xdr:row>24</xdr:row>
      <xdr:rowOff>127000</xdr:rowOff>
    </xdr:from>
    <xdr:to>
      <xdr:col>7</xdr:col>
      <xdr:colOff>190500</xdr:colOff>
      <xdr:row>30</xdr:row>
      <xdr:rowOff>139700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539750" y="3930650"/>
          <a:ext cx="4572000" cy="1422400"/>
        </a:xfrm>
        <a:prstGeom prst="can">
          <a:avLst>
            <a:gd name="adj" fmla="val 31847"/>
          </a:avLst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39999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679450</xdr:colOff>
      <xdr:row>12</xdr:row>
      <xdr:rowOff>317500</xdr:rowOff>
    </xdr:from>
    <xdr:to>
      <xdr:col>7</xdr:col>
      <xdr:colOff>101600</xdr:colOff>
      <xdr:row>25</xdr:row>
      <xdr:rowOff>139700</xdr:rowOff>
    </xdr:to>
    <xdr:sp macro="" textlink="">
      <xdr:nvSpPr>
        <xdr:cNvPr id="5123" name="AutoShape 3"/>
        <xdr:cNvSpPr>
          <a:spLocks noChangeArrowheads="1"/>
        </xdr:cNvSpPr>
      </xdr:nvSpPr>
      <xdr:spPr bwMode="auto">
        <a:xfrm rot="5590193">
          <a:off x="3089275" y="2174875"/>
          <a:ext cx="1892300" cy="1974850"/>
        </a:xfrm>
        <a:custGeom>
          <a:avLst/>
          <a:gdLst>
            <a:gd name="G0" fmla="+- -136704 0 0"/>
            <a:gd name="G1" fmla="+- -4712438 0 0"/>
            <a:gd name="G2" fmla="+- -136704 0 -4712438"/>
            <a:gd name="G3" fmla="+- 10800 0 0"/>
            <a:gd name="G4" fmla="+- 0 0 -136704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588 0 0"/>
            <a:gd name="G9" fmla="+- 0 0 -4712438"/>
            <a:gd name="G10" fmla="+- 9588 0 2700"/>
            <a:gd name="G11" fmla="cos G10 -136704"/>
            <a:gd name="G12" fmla="sin G10 -136704"/>
            <a:gd name="G13" fmla="cos 13500 -136704"/>
            <a:gd name="G14" fmla="sin 13500 -136704"/>
            <a:gd name="G15" fmla="+- G11 10800 0"/>
            <a:gd name="G16" fmla="+- G12 10800 0"/>
            <a:gd name="G17" fmla="+- G13 10800 0"/>
            <a:gd name="G18" fmla="+- G14 10800 0"/>
            <a:gd name="G19" fmla="*/ 9588 1 2"/>
            <a:gd name="G20" fmla="+- G19 5400 0"/>
            <a:gd name="G21" fmla="cos G20 -136704"/>
            <a:gd name="G22" fmla="sin G20 -136704"/>
            <a:gd name="G23" fmla="+- G21 10800 0"/>
            <a:gd name="G24" fmla="+- G12 G23 G22"/>
            <a:gd name="G25" fmla="+- G22 G23 G11"/>
            <a:gd name="G26" fmla="cos 10800 -136704"/>
            <a:gd name="G27" fmla="sin 10800 -136704"/>
            <a:gd name="G28" fmla="cos 9588 -136704"/>
            <a:gd name="G29" fmla="sin 9588 -136704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4712438"/>
            <a:gd name="G36" fmla="sin G34 -4712438"/>
            <a:gd name="G37" fmla="+/ -4712438 -136704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588 G39"/>
            <a:gd name="G43" fmla="sin 9588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9425 w 21600"/>
            <a:gd name="T5" fmla="*/ 4300 h 21600"/>
            <a:gd name="T6" fmla="*/ 13966 w 21600"/>
            <a:gd name="T7" fmla="*/ 1110 h 21600"/>
            <a:gd name="T8" fmla="*/ 18457 w 21600"/>
            <a:gd name="T9" fmla="*/ 5030 h 21600"/>
            <a:gd name="T10" fmla="*/ 24291 w 21600"/>
            <a:gd name="T11" fmla="*/ 10308 h 21600"/>
            <a:gd name="T12" fmla="*/ 21108 w 21600"/>
            <a:gd name="T13" fmla="*/ 13732 h 21600"/>
            <a:gd name="T14" fmla="*/ 17683 w 21600"/>
            <a:gd name="T15" fmla="*/ 10549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381" y="10451"/>
              </a:moveTo>
              <a:cubicBezTo>
                <a:pt x="20235" y="6433"/>
                <a:pt x="17598" y="2934"/>
                <a:pt x="13777" y="1686"/>
              </a:cubicBezTo>
              <a:lnTo>
                <a:pt x="14154" y="534"/>
              </a:lnTo>
              <a:cubicBezTo>
                <a:pt x="18458" y="1940"/>
                <a:pt x="21428" y="5882"/>
                <a:pt x="21592" y="10406"/>
              </a:cubicBezTo>
              <a:lnTo>
                <a:pt x="24291" y="10308"/>
              </a:lnTo>
              <a:lnTo>
                <a:pt x="21108" y="13732"/>
              </a:lnTo>
              <a:lnTo>
                <a:pt x="17683" y="10549"/>
              </a:lnTo>
              <a:lnTo>
                <a:pt x="20381" y="10451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730250</xdr:colOff>
      <xdr:row>28</xdr:row>
      <xdr:rowOff>95250</xdr:rowOff>
    </xdr:from>
    <xdr:to>
      <xdr:col>8</xdr:col>
      <xdr:colOff>177800</xdr:colOff>
      <xdr:row>38</xdr:row>
      <xdr:rowOff>57150</xdr:rowOff>
    </xdr:to>
    <xdr:sp macro="" textlink="">
      <xdr:nvSpPr>
        <xdr:cNvPr id="5124" name="AutoShape 4"/>
        <xdr:cNvSpPr>
          <a:spLocks noChangeArrowheads="1"/>
        </xdr:cNvSpPr>
      </xdr:nvSpPr>
      <xdr:spPr bwMode="auto">
        <a:xfrm rot="17735636">
          <a:off x="4187825" y="4562475"/>
          <a:ext cx="1924050" cy="2311400"/>
        </a:xfrm>
        <a:custGeom>
          <a:avLst/>
          <a:gdLst>
            <a:gd name="G0" fmla="+- 1008380 0 0"/>
            <a:gd name="G1" fmla="+- -3912702 0 0"/>
            <a:gd name="G2" fmla="+- 1008380 0 -3912702"/>
            <a:gd name="G3" fmla="+- 10800 0 0"/>
            <a:gd name="G4" fmla="+- 0 0 1008380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817 0 0"/>
            <a:gd name="G9" fmla="+- 0 0 -3912702"/>
            <a:gd name="G10" fmla="+- 9817 0 2700"/>
            <a:gd name="G11" fmla="cos G10 1008380"/>
            <a:gd name="G12" fmla="sin G10 1008380"/>
            <a:gd name="G13" fmla="cos 13500 1008380"/>
            <a:gd name="G14" fmla="sin 13500 1008380"/>
            <a:gd name="G15" fmla="+- G11 10800 0"/>
            <a:gd name="G16" fmla="+- G12 10800 0"/>
            <a:gd name="G17" fmla="+- G13 10800 0"/>
            <a:gd name="G18" fmla="+- G14 10800 0"/>
            <a:gd name="G19" fmla="*/ 9817 1 2"/>
            <a:gd name="G20" fmla="+- G19 5400 0"/>
            <a:gd name="G21" fmla="cos G20 1008380"/>
            <a:gd name="G22" fmla="sin G20 1008380"/>
            <a:gd name="G23" fmla="+- G21 10800 0"/>
            <a:gd name="G24" fmla="+- G12 G23 G22"/>
            <a:gd name="G25" fmla="+- G22 G23 G11"/>
            <a:gd name="G26" fmla="cos 10800 1008380"/>
            <a:gd name="G27" fmla="sin 10800 1008380"/>
            <a:gd name="G28" fmla="cos 9817 1008380"/>
            <a:gd name="G29" fmla="sin 9817 1008380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3912702"/>
            <a:gd name="G36" fmla="sin G34 -3912702"/>
            <a:gd name="G37" fmla="+/ -3912702 1008380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817 G39"/>
            <a:gd name="G43" fmla="sin 9817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20802 w 21600"/>
            <a:gd name="T5" fmla="*/ 6726 h 21600"/>
            <a:gd name="T6" fmla="*/ 16000 w 21600"/>
            <a:gd name="T7" fmla="*/ 1898 h 21600"/>
            <a:gd name="T8" fmla="*/ 19891 w 21600"/>
            <a:gd name="T9" fmla="*/ 7097 h 21600"/>
            <a:gd name="T10" fmla="*/ 23816 w 21600"/>
            <a:gd name="T11" fmla="*/ 14381 h 21600"/>
            <a:gd name="T12" fmla="*/ 19892 w 21600"/>
            <a:gd name="T13" fmla="*/ 16613 h 21600"/>
            <a:gd name="T14" fmla="*/ 17661 w 21600"/>
            <a:gd name="T15" fmla="*/ 12688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265" y="13404"/>
              </a:moveTo>
              <a:cubicBezTo>
                <a:pt x="20498" y="12556"/>
                <a:pt x="20617" y="11680"/>
                <a:pt x="20617" y="10800"/>
              </a:cubicBezTo>
              <a:cubicBezTo>
                <a:pt x="20617" y="7310"/>
                <a:pt x="18765" y="4083"/>
                <a:pt x="15752" y="2323"/>
              </a:cubicBezTo>
              <a:lnTo>
                <a:pt x="16248" y="1475"/>
              </a:lnTo>
              <a:cubicBezTo>
                <a:pt x="19562" y="3411"/>
                <a:pt x="21600" y="6961"/>
                <a:pt x="21600" y="10800"/>
              </a:cubicBezTo>
              <a:cubicBezTo>
                <a:pt x="21600" y="11768"/>
                <a:pt x="21469" y="12732"/>
                <a:pt x="21212" y="13665"/>
              </a:cubicBezTo>
              <a:lnTo>
                <a:pt x="23816" y="14381"/>
              </a:lnTo>
              <a:lnTo>
                <a:pt x="19892" y="16613"/>
              </a:lnTo>
              <a:lnTo>
                <a:pt x="17661" y="12688"/>
              </a:lnTo>
              <a:lnTo>
                <a:pt x="20265" y="13404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24</xdr:row>
      <xdr:rowOff>146050</xdr:rowOff>
    </xdr:from>
    <xdr:to>
      <xdr:col>7</xdr:col>
      <xdr:colOff>19050</xdr:colOff>
      <xdr:row>30</xdr:row>
      <xdr:rowOff>25400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222250" y="4108450"/>
          <a:ext cx="4191000" cy="977900"/>
        </a:xfrm>
        <a:prstGeom prst="can">
          <a:avLst>
            <a:gd name="adj" fmla="val 25426"/>
          </a:avLst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39999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622300</xdr:colOff>
      <xdr:row>9</xdr:row>
      <xdr:rowOff>12700</xdr:rowOff>
    </xdr:from>
    <xdr:to>
      <xdr:col>8</xdr:col>
      <xdr:colOff>152400</xdr:colOff>
      <xdr:row>25</xdr:row>
      <xdr:rowOff>152400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 rot="5590193">
          <a:off x="2933700" y="1936750"/>
          <a:ext cx="2578100" cy="2108200"/>
        </a:xfrm>
        <a:custGeom>
          <a:avLst/>
          <a:gdLst>
            <a:gd name="G0" fmla="+- -136704 0 0"/>
            <a:gd name="G1" fmla="+- -4216427 0 0"/>
            <a:gd name="G2" fmla="+- -136704 0 -4216427"/>
            <a:gd name="G3" fmla="+- 10800 0 0"/>
            <a:gd name="G4" fmla="+- 0 0 -136704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588 0 0"/>
            <a:gd name="G9" fmla="+- 0 0 -4216427"/>
            <a:gd name="G10" fmla="+- 9588 0 2700"/>
            <a:gd name="G11" fmla="cos G10 -136704"/>
            <a:gd name="G12" fmla="sin G10 -136704"/>
            <a:gd name="G13" fmla="cos 13500 -136704"/>
            <a:gd name="G14" fmla="sin 13500 -136704"/>
            <a:gd name="G15" fmla="+- G11 10800 0"/>
            <a:gd name="G16" fmla="+- G12 10800 0"/>
            <a:gd name="G17" fmla="+- G13 10800 0"/>
            <a:gd name="G18" fmla="+- G14 10800 0"/>
            <a:gd name="G19" fmla="*/ 9588 1 2"/>
            <a:gd name="G20" fmla="+- G19 5400 0"/>
            <a:gd name="G21" fmla="cos G20 -136704"/>
            <a:gd name="G22" fmla="sin G20 -136704"/>
            <a:gd name="G23" fmla="+- G21 10800 0"/>
            <a:gd name="G24" fmla="+- G12 G23 G22"/>
            <a:gd name="G25" fmla="+- G22 G23 G11"/>
            <a:gd name="G26" fmla="cos 10800 -136704"/>
            <a:gd name="G27" fmla="sin 10800 -136704"/>
            <a:gd name="G28" fmla="cos 9588 -136704"/>
            <a:gd name="G29" fmla="sin 9588 -136704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4216427"/>
            <a:gd name="G36" fmla="sin G34 -4216427"/>
            <a:gd name="G37" fmla="+/ -4216427 -136704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588 G39"/>
            <a:gd name="G43" fmla="sin 9588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9835 w 21600"/>
            <a:gd name="T5" fmla="*/ 4884 h 21600"/>
            <a:gd name="T6" fmla="*/ 15214 w 21600"/>
            <a:gd name="T7" fmla="*/ 1611 h 21600"/>
            <a:gd name="T8" fmla="*/ 18821 w 21600"/>
            <a:gd name="T9" fmla="*/ 5548 h 21600"/>
            <a:gd name="T10" fmla="*/ 24291 w 21600"/>
            <a:gd name="T11" fmla="*/ 10308 h 21600"/>
            <a:gd name="T12" fmla="*/ 21108 w 21600"/>
            <a:gd name="T13" fmla="*/ 13732 h 21600"/>
            <a:gd name="T14" fmla="*/ 17683 w 21600"/>
            <a:gd name="T15" fmla="*/ 10549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381" y="10451"/>
              </a:moveTo>
              <a:cubicBezTo>
                <a:pt x="20252" y="6892"/>
                <a:pt x="18161" y="3699"/>
                <a:pt x="14952" y="2157"/>
              </a:cubicBezTo>
              <a:lnTo>
                <a:pt x="15477" y="1065"/>
              </a:lnTo>
              <a:cubicBezTo>
                <a:pt x="19092" y="2802"/>
                <a:pt x="21446" y="6399"/>
                <a:pt x="21592" y="10406"/>
              </a:cubicBezTo>
              <a:lnTo>
                <a:pt x="24291" y="10308"/>
              </a:lnTo>
              <a:lnTo>
                <a:pt x="21108" y="13732"/>
              </a:lnTo>
              <a:lnTo>
                <a:pt x="17683" y="10549"/>
              </a:lnTo>
              <a:lnTo>
                <a:pt x="20381" y="10451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762000</xdr:colOff>
      <xdr:row>27</xdr:row>
      <xdr:rowOff>101600</xdr:rowOff>
    </xdr:from>
    <xdr:to>
      <xdr:col>9</xdr:col>
      <xdr:colOff>400050</xdr:colOff>
      <xdr:row>37</xdr:row>
      <xdr:rowOff>50800</xdr:rowOff>
    </xdr:to>
    <xdr:sp macro="" textlink="">
      <xdr:nvSpPr>
        <xdr:cNvPr id="6148" name="AutoShape 4"/>
        <xdr:cNvSpPr>
          <a:spLocks noChangeArrowheads="1"/>
        </xdr:cNvSpPr>
      </xdr:nvSpPr>
      <xdr:spPr bwMode="auto">
        <a:xfrm rot="-48067896">
          <a:off x="4016375" y="3921125"/>
          <a:ext cx="1727200" cy="3143250"/>
        </a:xfrm>
        <a:custGeom>
          <a:avLst/>
          <a:gdLst>
            <a:gd name="G0" fmla="+- 1008380 0 0"/>
            <a:gd name="G1" fmla="+- -3837423 0 0"/>
            <a:gd name="G2" fmla="+- 1008380 0 -3837423"/>
            <a:gd name="G3" fmla="+- 10800 0 0"/>
            <a:gd name="G4" fmla="+- 0 0 1008380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817 0 0"/>
            <a:gd name="G9" fmla="+- 0 0 -3837423"/>
            <a:gd name="G10" fmla="+- 9817 0 2700"/>
            <a:gd name="G11" fmla="cos G10 1008380"/>
            <a:gd name="G12" fmla="sin G10 1008380"/>
            <a:gd name="G13" fmla="cos 13500 1008380"/>
            <a:gd name="G14" fmla="sin 13500 1008380"/>
            <a:gd name="G15" fmla="+- G11 10800 0"/>
            <a:gd name="G16" fmla="+- G12 10800 0"/>
            <a:gd name="G17" fmla="+- G13 10800 0"/>
            <a:gd name="G18" fmla="+- G14 10800 0"/>
            <a:gd name="G19" fmla="*/ 9817 1 2"/>
            <a:gd name="G20" fmla="+- G19 5400 0"/>
            <a:gd name="G21" fmla="cos G20 1008380"/>
            <a:gd name="G22" fmla="sin G20 1008380"/>
            <a:gd name="G23" fmla="+- G21 10800 0"/>
            <a:gd name="G24" fmla="+- G12 G23 G22"/>
            <a:gd name="G25" fmla="+- G22 G23 G11"/>
            <a:gd name="G26" fmla="cos 10800 1008380"/>
            <a:gd name="G27" fmla="sin 10800 1008380"/>
            <a:gd name="G28" fmla="cos 9817 1008380"/>
            <a:gd name="G29" fmla="sin 9817 1008380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3837423"/>
            <a:gd name="G36" fmla="sin G34 -3837423"/>
            <a:gd name="G37" fmla="+/ -3837423 1008380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817 G39"/>
            <a:gd name="G43" fmla="sin 9817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20842 w 21600"/>
            <a:gd name="T5" fmla="*/ 6827 h 21600"/>
            <a:gd name="T6" fmla="*/ 16178 w 21600"/>
            <a:gd name="T7" fmla="*/ 2005 h 21600"/>
            <a:gd name="T8" fmla="*/ 19928 w 21600"/>
            <a:gd name="T9" fmla="*/ 7188 h 21600"/>
            <a:gd name="T10" fmla="*/ 23816 w 21600"/>
            <a:gd name="T11" fmla="*/ 14381 h 21600"/>
            <a:gd name="T12" fmla="*/ 19892 w 21600"/>
            <a:gd name="T13" fmla="*/ 16613 h 21600"/>
            <a:gd name="T14" fmla="*/ 17661 w 21600"/>
            <a:gd name="T15" fmla="*/ 12688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20265" y="13404"/>
              </a:moveTo>
              <a:cubicBezTo>
                <a:pt x="20498" y="12556"/>
                <a:pt x="20617" y="11680"/>
                <a:pt x="20617" y="10800"/>
              </a:cubicBezTo>
              <a:cubicBezTo>
                <a:pt x="20617" y="7381"/>
                <a:pt x="18838" y="4208"/>
                <a:pt x="15921" y="2424"/>
              </a:cubicBezTo>
              <a:lnTo>
                <a:pt x="16434" y="1586"/>
              </a:lnTo>
              <a:cubicBezTo>
                <a:pt x="19643" y="3548"/>
                <a:pt x="21600" y="7038"/>
                <a:pt x="21600" y="10800"/>
              </a:cubicBezTo>
              <a:cubicBezTo>
                <a:pt x="21600" y="11768"/>
                <a:pt x="21469" y="12732"/>
                <a:pt x="21212" y="13665"/>
              </a:cubicBezTo>
              <a:lnTo>
                <a:pt x="23816" y="14381"/>
              </a:lnTo>
              <a:lnTo>
                <a:pt x="19892" y="16613"/>
              </a:lnTo>
              <a:lnTo>
                <a:pt x="17661" y="12688"/>
              </a:lnTo>
              <a:lnTo>
                <a:pt x="20265" y="13404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1485900</xdr:colOff>
      <xdr:row>11</xdr:row>
      <xdr:rowOff>95250</xdr:rowOff>
    </xdr:from>
    <xdr:to>
      <xdr:col>7</xdr:col>
      <xdr:colOff>120650</xdr:colOff>
      <xdr:row>15</xdr:row>
      <xdr:rowOff>38100</xdr:rowOff>
    </xdr:to>
    <xdr:sp macro="" textlink="">
      <xdr:nvSpPr>
        <xdr:cNvPr id="8195" name="AutoShape 3"/>
        <xdr:cNvSpPr>
          <a:spLocks noChangeArrowheads="1"/>
        </xdr:cNvSpPr>
      </xdr:nvSpPr>
      <xdr:spPr bwMode="auto">
        <a:xfrm>
          <a:off x="1612900" y="1771650"/>
          <a:ext cx="4229100" cy="806450"/>
        </a:xfrm>
        <a:prstGeom prst="foldedCorner">
          <a:avLst>
            <a:gd name="adj" fmla="val 13875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2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247650</xdr:colOff>
      <xdr:row>22</xdr:row>
      <xdr:rowOff>127000</xdr:rowOff>
    </xdr:from>
    <xdr:to>
      <xdr:col>5</xdr:col>
      <xdr:colOff>50800</xdr:colOff>
      <xdr:row>24</xdr:row>
      <xdr:rowOff>95250</xdr:rowOff>
    </xdr:to>
    <xdr:sp macro="" textlink="">
      <xdr:nvSpPr>
        <xdr:cNvPr id="8196" name="AutoShape 4"/>
        <xdr:cNvSpPr>
          <a:spLocks noChangeArrowheads="1"/>
        </xdr:cNvSpPr>
      </xdr:nvSpPr>
      <xdr:spPr bwMode="auto">
        <a:xfrm>
          <a:off x="127000" y="3746500"/>
          <a:ext cx="3143250" cy="374650"/>
        </a:xfrm>
        <a:prstGeom prst="foldedCorner">
          <a:avLst>
            <a:gd name="adj" fmla="val 151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2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355600</xdr:colOff>
      <xdr:row>22</xdr:row>
      <xdr:rowOff>114300</xdr:rowOff>
    </xdr:from>
    <xdr:to>
      <xdr:col>8</xdr:col>
      <xdr:colOff>241300</xdr:colOff>
      <xdr:row>24</xdr:row>
      <xdr:rowOff>95250</xdr:rowOff>
    </xdr:to>
    <xdr:sp macro="" textlink="">
      <xdr:nvSpPr>
        <xdr:cNvPr id="8197" name="AutoShape 5"/>
        <xdr:cNvSpPr>
          <a:spLocks noChangeArrowheads="1"/>
        </xdr:cNvSpPr>
      </xdr:nvSpPr>
      <xdr:spPr bwMode="auto">
        <a:xfrm>
          <a:off x="3575050" y="3733800"/>
          <a:ext cx="3098800" cy="387350"/>
        </a:xfrm>
        <a:prstGeom prst="foldedCorner">
          <a:avLst>
            <a:gd name="adj" fmla="val 151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2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0</xdr:row>
      <xdr:rowOff>57150</xdr:rowOff>
    </xdr:from>
    <xdr:to>
      <xdr:col>9</xdr:col>
      <xdr:colOff>69850</xdr:colOff>
      <xdr:row>2</xdr:row>
      <xdr:rowOff>95250</xdr:rowOff>
    </xdr:to>
    <xdr:sp macro="" textlink="">
      <xdr:nvSpPr>
        <xdr:cNvPr id="8198" name="WordArt 6"/>
        <xdr:cNvSpPr>
          <a:spLocks noChangeArrowheads="1" noChangeShapeType="1" noTextEdit="1"/>
        </xdr:cNvSpPr>
      </xdr:nvSpPr>
      <xdr:spPr bwMode="auto">
        <a:xfrm>
          <a:off x="76200" y="57150"/>
          <a:ext cx="6934200" cy="508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FFFF99" mc:Ignorable="a14" a14:legacySpreadsheetColorIndex="43"/>
                  </a:gs>
                  <a:gs pos="100000">
                    <a:srgbClr xmlns:mc="http://schemas.openxmlformats.org/markup-compatibility/2006" xmlns:a14="http://schemas.microsoft.com/office/drawing/2010/main" val="339966" mc:Ignorable="a14" a14:legacySpreadsheetColorIndex="57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Rechnen mit Deckungsbeiträgen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</xdr:row>
      <xdr:rowOff>31750</xdr:rowOff>
    </xdr:from>
    <xdr:to>
      <xdr:col>10</xdr:col>
      <xdr:colOff>520700</xdr:colOff>
      <xdr:row>12</xdr:row>
      <xdr:rowOff>19050</xdr:rowOff>
    </xdr:to>
    <xdr:graphicFrame macro="">
      <xdr:nvGraphicFramePr>
        <xdr:cNvPr id="9220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12</xdr:row>
      <xdr:rowOff>171450</xdr:rowOff>
    </xdr:from>
    <xdr:to>
      <xdr:col>10</xdr:col>
      <xdr:colOff>520700</xdr:colOff>
      <xdr:row>21</xdr:row>
      <xdr:rowOff>0</xdr:rowOff>
    </xdr:to>
    <xdr:graphicFrame macro="">
      <xdr:nvGraphicFramePr>
        <xdr:cNvPr id="9221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D78"/>
  <sheetViews>
    <sheetView showGridLines="0" tabSelected="1" zoomScale="90" workbookViewId="0">
      <selection activeCell="A3" sqref="A3"/>
    </sheetView>
  </sheetViews>
  <sheetFormatPr baseColWidth="10" defaultRowHeight="13" x14ac:dyDescent="0.3"/>
  <cols>
    <col min="1" max="1" width="114.54296875" style="178" customWidth="1"/>
    <col min="2" max="2" width="6.453125" customWidth="1"/>
    <col min="3" max="3" width="24.54296875" customWidth="1"/>
    <col min="4" max="4" width="11.26953125" customWidth="1"/>
  </cols>
  <sheetData>
    <row r="1" spans="1:4" ht="40.5" customHeight="1" thickTop="1" thickBot="1" x14ac:dyDescent="0.3">
      <c r="A1" s="158" t="s">
        <v>113</v>
      </c>
      <c r="C1" s="206" t="str">
        <f>Navigation!$A$1</f>
        <v>Nights in white satin</v>
      </c>
      <c r="D1" s="207"/>
    </row>
    <row r="2" spans="1:4" ht="41.25" customHeight="1" x14ac:dyDescent="0.25">
      <c r="A2" s="159" t="s">
        <v>114</v>
      </c>
      <c r="C2" s="160"/>
    </row>
    <row r="3" spans="1:4" ht="52.5" customHeight="1" x14ac:dyDescent="0.55000000000000004">
      <c r="A3" s="161" t="s">
        <v>210</v>
      </c>
    </row>
    <row r="4" spans="1:4" ht="3.65" customHeight="1" x14ac:dyDescent="0.4">
      <c r="A4" s="162"/>
    </row>
    <row r="5" spans="1:4" ht="17.5" x14ac:dyDescent="0.35">
      <c r="A5" s="307" t="s">
        <v>211</v>
      </c>
    </row>
    <row r="6" spans="1:4" ht="17.5" x14ac:dyDescent="0.35">
      <c r="A6" s="306"/>
    </row>
    <row r="7" spans="1:4" ht="20" x14ac:dyDescent="0.4">
      <c r="A7" s="309" t="s">
        <v>212</v>
      </c>
    </row>
    <row r="8" spans="1:4" ht="20" x14ac:dyDescent="0.4">
      <c r="A8" s="309" t="s">
        <v>213</v>
      </c>
    </row>
    <row r="9" spans="1:4" x14ac:dyDescent="0.3">
      <c r="A9" s="163"/>
    </row>
    <row r="10" spans="1:4" ht="15.5" x14ac:dyDescent="0.35">
      <c r="A10" s="164" t="s">
        <v>219</v>
      </c>
    </row>
    <row r="11" spans="1:4" ht="15.5" x14ac:dyDescent="0.35">
      <c r="A11" s="164" t="s">
        <v>218</v>
      </c>
    </row>
    <row r="12" spans="1:4" ht="15.5" x14ac:dyDescent="0.35">
      <c r="A12" s="164" t="s">
        <v>214</v>
      </c>
    </row>
    <row r="13" spans="1:4" ht="15.5" x14ac:dyDescent="0.35">
      <c r="A13" s="164" t="s">
        <v>200</v>
      </c>
    </row>
    <row r="14" spans="1:4" ht="15.5" x14ac:dyDescent="0.35">
      <c r="A14" s="165"/>
    </row>
    <row r="15" spans="1:4" ht="19.899999999999999" customHeight="1" x14ac:dyDescent="0.35">
      <c r="A15" s="166"/>
    </row>
    <row r="16" spans="1:4" ht="26.5" customHeight="1" x14ac:dyDescent="0.45">
      <c r="A16" s="167" t="s">
        <v>115</v>
      </c>
    </row>
    <row r="17" spans="1:1" ht="30.65" customHeight="1" x14ac:dyDescent="0.45">
      <c r="A17" s="167" t="s">
        <v>116</v>
      </c>
    </row>
    <row r="18" spans="1:1" ht="15.5" x14ac:dyDescent="0.35">
      <c r="A18" s="165"/>
    </row>
    <row r="19" spans="1:1" ht="20" x14ac:dyDescent="0.4">
      <c r="A19" s="308" t="s">
        <v>215</v>
      </c>
    </row>
    <row r="20" spans="1:1" ht="15.5" x14ac:dyDescent="0.35">
      <c r="A20" s="164"/>
    </row>
    <row r="21" spans="1:1" ht="15.5" x14ac:dyDescent="0.35">
      <c r="A21" s="168" t="str">
        <f>Navigation!D6</f>
        <v>Variable Logis-Kosten pro Gäste-Segment Vorjahr</v>
      </c>
    </row>
    <row r="22" spans="1:1" ht="15.5" x14ac:dyDescent="0.35">
      <c r="A22" s="168" t="str">
        <f>Navigation!D7</f>
        <v>Umsatz und Deckungsbeitrag Logis Vorjahr</v>
      </c>
    </row>
    <row r="23" spans="1:1" ht="15.5" x14ac:dyDescent="0.35">
      <c r="A23" s="168" t="str">
        <f>Navigation!D8</f>
        <v>TOP 5  Umsatz und Übernachtungen Vorjahr</v>
      </c>
    </row>
    <row r="24" spans="1:1" ht="15.5" x14ac:dyDescent="0.35">
      <c r="A24" s="168" t="str">
        <f>Navigation!D9</f>
        <v>Die Regeln für das Arbeiten mit Deckungsbeiträgen</v>
      </c>
    </row>
    <row r="25" spans="1:1" ht="15.5" x14ac:dyDescent="0.35">
      <c r="A25" s="168" t="str">
        <f>Navigation!D12</f>
        <v>Deckungsbeitragsrechnung mit eigenen Daten:  Probieren geht über Studieren!</v>
      </c>
    </row>
    <row r="26" spans="1:1" ht="15.5" x14ac:dyDescent="0.35">
      <c r="A26" s="168" t="str">
        <f>Navigation!D13</f>
        <v>Die Preisuntergrenze für das laufende Jahr</v>
      </c>
    </row>
    <row r="27" spans="1:1" ht="15.5" x14ac:dyDescent="0.35">
      <c r="A27" s="168" t="s">
        <v>117</v>
      </c>
    </row>
    <row r="28" spans="1:1" ht="15.5" x14ac:dyDescent="0.35">
      <c r="A28" s="169"/>
    </row>
    <row r="29" spans="1:1" ht="15.5" x14ac:dyDescent="0.35">
      <c r="A29" s="165"/>
    </row>
    <row r="30" spans="1:1" x14ac:dyDescent="0.3">
      <c r="A30" s="163"/>
    </row>
    <row r="31" spans="1:1" ht="15.5" x14ac:dyDescent="0.35">
      <c r="A31" s="165" t="s">
        <v>216</v>
      </c>
    </row>
    <row r="32" spans="1:1" ht="15.5" x14ac:dyDescent="0.35">
      <c r="A32" s="165" t="s">
        <v>118</v>
      </c>
    </row>
    <row r="33" spans="1:1" ht="15.5" x14ac:dyDescent="0.35">
      <c r="A33" s="165" t="s">
        <v>119</v>
      </c>
    </row>
    <row r="34" spans="1:1" x14ac:dyDescent="0.3">
      <c r="A34" s="163"/>
    </row>
    <row r="35" spans="1:1" x14ac:dyDescent="0.3">
      <c r="A35" s="163"/>
    </row>
    <row r="36" spans="1:1" ht="20.5" customHeight="1" x14ac:dyDescent="0.4">
      <c r="A36" s="170" t="s">
        <v>217</v>
      </c>
    </row>
    <row r="37" spans="1:1" x14ac:dyDescent="0.3">
      <c r="A37" s="171"/>
    </row>
    <row r="38" spans="1:1" ht="18" x14ac:dyDescent="0.4">
      <c r="A38" s="170" t="s">
        <v>120</v>
      </c>
    </row>
    <row r="39" spans="1:1" ht="15.5" x14ac:dyDescent="0.35">
      <c r="A39" s="172" t="s">
        <v>133</v>
      </c>
    </row>
    <row r="40" spans="1:1" ht="15.5" x14ac:dyDescent="0.35">
      <c r="A40" s="172" t="s">
        <v>121</v>
      </c>
    </row>
    <row r="41" spans="1:1" ht="15.5" x14ac:dyDescent="0.35">
      <c r="A41" s="172" t="s">
        <v>122</v>
      </c>
    </row>
    <row r="42" spans="1:1" ht="15.5" x14ac:dyDescent="0.35">
      <c r="A42" s="172"/>
    </row>
    <row r="43" spans="1:1" ht="15.5" x14ac:dyDescent="0.35">
      <c r="A43" s="173"/>
    </row>
    <row r="44" spans="1:1" ht="18" x14ac:dyDescent="0.4">
      <c r="A44" s="170" t="s">
        <v>123</v>
      </c>
    </row>
    <row r="45" spans="1:1" ht="15.5" x14ac:dyDescent="0.35">
      <c r="A45" s="172" t="s">
        <v>202</v>
      </c>
    </row>
    <row r="46" spans="1:1" ht="15.5" x14ac:dyDescent="0.35">
      <c r="A46" s="172" t="s">
        <v>203</v>
      </c>
    </row>
    <row r="47" spans="1:1" ht="15.5" x14ac:dyDescent="0.35">
      <c r="A47" s="172" t="s">
        <v>204</v>
      </c>
    </row>
    <row r="48" spans="1:1" ht="15.5" x14ac:dyDescent="0.35">
      <c r="A48" s="173"/>
    </row>
    <row r="49" spans="1:1" ht="15.5" x14ac:dyDescent="0.35">
      <c r="A49" s="173"/>
    </row>
    <row r="50" spans="1:1" ht="15.5" x14ac:dyDescent="0.35">
      <c r="A50" s="173"/>
    </row>
    <row r="51" spans="1:1" ht="18" x14ac:dyDescent="0.4">
      <c r="A51" s="170" t="s">
        <v>124</v>
      </c>
    </row>
    <row r="52" spans="1:1" ht="15.5" x14ac:dyDescent="0.35">
      <c r="A52" s="174" t="s">
        <v>125</v>
      </c>
    </row>
    <row r="53" spans="1:1" x14ac:dyDescent="0.3">
      <c r="A53" s="175"/>
    </row>
    <row r="54" spans="1:1" x14ac:dyDescent="0.3">
      <c r="A54" s="175"/>
    </row>
    <row r="55" spans="1:1" x14ac:dyDescent="0.3">
      <c r="A55" s="163"/>
    </row>
    <row r="56" spans="1:1" x14ac:dyDescent="0.3">
      <c r="A56" s="163"/>
    </row>
    <row r="57" spans="1:1" x14ac:dyDescent="0.3">
      <c r="A57" s="163"/>
    </row>
    <row r="58" spans="1:1" x14ac:dyDescent="0.3">
      <c r="A58" s="163"/>
    </row>
    <row r="59" spans="1:1" x14ac:dyDescent="0.3">
      <c r="A59" s="163"/>
    </row>
    <row r="60" spans="1:1" ht="15.5" x14ac:dyDescent="0.35">
      <c r="A60" s="165" t="s">
        <v>134</v>
      </c>
    </row>
    <row r="61" spans="1:1" ht="15.5" x14ac:dyDescent="0.35">
      <c r="A61" s="165" t="s">
        <v>126</v>
      </c>
    </row>
    <row r="62" spans="1:1" ht="15.5" x14ac:dyDescent="0.35">
      <c r="A62" s="165" t="s">
        <v>127</v>
      </c>
    </row>
    <row r="63" spans="1:1" ht="21" x14ac:dyDescent="0.5">
      <c r="A63" s="266" t="s">
        <v>201</v>
      </c>
    </row>
    <row r="64" spans="1:1" x14ac:dyDescent="0.3">
      <c r="A64" s="163"/>
    </row>
    <row r="65" spans="1:1" x14ac:dyDescent="0.3">
      <c r="A65" s="163"/>
    </row>
    <row r="66" spans="1:1" ht="15.5" x14ac:dyDescent="0.35">
      <c r="A66" s="165" t="s">
        <v>128</v>
      </c>
    </row>
    <row r="67" spans="1:1" ht="15.5" x14ac:dyDescent="0.35">
      <c r="A67" s="165" t="s">
        <v>135</v>
      </c>
    </row>
    <row r="68" spans="1:1" ht="15.5" x14ac:dyDescent="0.35">
      <c r="A68" s="165"/>
    </row>
    <row r="69" spans="1:1" ht="15.5" x14ac:dyDescent="0.35">
      <c r="A69" s="165" t="s">
        <v>129</v>
      </c>
    </row>
    <row r="70" spans="1:1" ht="15.5" x14ac:dyDescent="0.35">
      <c r="A70" s="165" t="s">
        <v>130</v>
      </c>
    </row>
    <row r="71" spans="1:1" ht="15" customHeight="1" x14ac:dyDescent="0.3">
      <c r="A71" s="163"/>
    </row>
    <row r="72" spans="1:1" x14ac:dyDescent="0.3">
      <c r="A72" s="176" t="s">
        <v>131</v>
      </c>
    </row>
    <row r="73" spans="1:1" ht="22.5" customHeight="1" x14ac:dyDescent="0.3">
      <c r="A73" s="177" t="s">
        <v>132</v>
      </c>
    </row>
    <row r="74" spans="1:1" ht="3" customHeight="1" x14ac:dyDescent="0.3">
      <c r="A74" s="163"/>
    </row>
    <row r="75" spans="1:1" ht="16.5" customHeight="1" x14ac:dyDescent="0.25">
      <c r="A75" s="311" t="str">
        <f ca="1">+CONCATENATE("copyright 2005 - ",YEAR(A76)," K! Business Solutions GmbH, Erkrath - Germany")</f>
        <v>copyright 2005 - 2014 K! Business Solutions GmbH, Erkrath - Germany</v>
      </c>
    </row>
    <row r="76" spans="1:1" ht="4.9000000000000004" customHeight="1" x14ac:dyDescent="0.25">
      <c r="A76" s="312">
        <f ca="1">+TODAY()</f>
        <v>41946</v>
      </c>
    </row>
    <row r="78" spans="1:1" ht="7.9" customHeight="1" x14ac:dyDescent="0.3"/>
  </sheetData>
  <phoneticPr fontId="3" type="noConversion"/>
  <hyperlinks>
    <hyperlink ref="C1" location="Navigation!A1" display="=Navigation!$A$1"/>
  </hyperlinks>
  <printOptions horizontalCentered="1"/>
  <pageMargins left="0.59055118110236227" right="0" top="0.59055118110236227" bottom="0.39370078740157483" header="0" footer="0"/>
  <pageSetup paperSize="9" scale="97" fitToHeight="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zoomScale="90" workbookViewId="0">
      <selection activeCell="B30" sqref="B30"/>
    </sheetView>
  </sheetViews>
  <sheetFormatPr baseColWidth="10" defaultRowHeight="12.5" x14ac:dyDescent="0.25"/>
  <cols>
    <col min="1" max="3" width="5.453125" customWidth="1"/>
    <col min="4" max="4" width="18.7265625" customWidth="1"/>
    <col min="6" max="6" width="8.26953125" customWidth="1"/>
    <col min="10" max="10" width="12.26953125" customWidth="1"/>
    <col min="11" max="11" width="9.1796875" customWidth="1"/>
    <col min="12" max="12" width="12.26953125" customWidth="1"/>
    <col min="13" max="13" width="9.26953125" customWidth="1"/>
    <col min="14" max="14" width="8.1796875" customWidth="1"/>
    <col min="15" max="15" width="2.7265625" customWidth="1"/>
    <col min="16" max="16" width="16.7265625" customWidth="1"/>
    <col min="17" max="17" width="14" customWidth="1"/>
  </cols>
  <sheetData>
    <row r="1" spans="1:17" ht="19.149999999999999" customHeight="1" thickBot="1" x14ac:dyDescent="0.4">
      <c r="A1" s="9" t="s">
        <v>187</v>
      </c>
      <c r="B1" s="9"/>
      <c r="C1" s="9"/>
      <c r="K1" s="31" t="str">
        <f>DATA!A10</f>
        <v>Hotel:</v>
      </c>
      <c r="N1" s="28" t="str">
        <f>DATA!C10</f>
        <v>Villa Maris</v>
      </c>
      <c r="P1" s="212" t="str">
        <f>Navigation!$A$1</f>
        <v>Nights in white satin</v>
      </c>
      <c r="Q1" s="207"/>
    </row>
    <row r="2" spans="1:17" ht="7.15" customHeight="1" x14ac:dyDescent="0.3">
      <c r="K2" s="31"/>
    </row>
    <row r="3" spans="1:17" ht="15.5" x14ac:dyDescent="0.35">
      <c r="A3" s="32" t="str">
        <f>DATA!A16</f>
        <v>Berichtswährung:</v>
      </c>
      <c r="B3" s="32"/>
      <c r="C3" s="32"/>
      <c r="D3" s="33"/>
      <c r="E3" s="32" t="str">
        <f>DATA!C16</f>
        <v>EUR</v>
      </c>
      <c r="K3" s="31" t="str">
        <f>DATA!A14</f>
        <v>Jahr:</v>
      </c>
      <c r="N3" s="9">
        <f>DATA!D30</f>
        <v>2014</v>
      </c>
    </row>
    <row r="4" spans="1:17" ht="15.5" x14ac:dyDescent="0.35">
      <c r="A4" s="32"/>
      <c r="B4" s="32"/>
      <c r="C4" s="32"/>
      <c r="D4" s="33"/>
      <c r="E4" s="32"/>
      <c r="K4" s="31"/>
      <c r="N4" s="9"/>
    </row>
    <row r="5" spans="1:17" ht="5.25" customHeight="1" x14ac:dyDescent="0.35">
      <c r="A5" s="32"/>
      <c r="B5" s="32"/>
      <c r="C5" s="32"/>
      <c r="D5" s="33"/>
      <c r="E5" s="33"/>
      <c r="F5" s="33"/>
      <c r="G5" s="33"/>
      <c r="H5" s="33"/>
      <c r="I5" s="33"/>
      <c r="K5" s="31"/>
      <c r="N5" s="9"/>
    </row>
    <row r="6" spans="1:17" ht="4.9000000000000004" customHeight="1" x14ac:dyDescent="0.25"/>
    <row r="7" spans="1:17" ht="48" customHeight="1" x14ac:dyDescent="0.3">
      <c r="A7" s="122" t="s">
        <v>31</v>
      </c>
      <c r="B7" s="122" t="s">
        <v>188</v>
      </c>
      <c r="C7" s="122" t="s">
        <v>189</v>
      </c>
      <c r="D7" s="122" t="str">
        <f>DATA!C84</f>
        <v>Kundensegment</v>
      </c>
      <c r="E7" s="123" t="str">
        <f>DATA!F84</f>
        <v>Anzahl  Zimmer</v>
      </c>
      <c r="F7" s="124" t="s">
        <v>43</v>
      </c>
      <c r="G7" s="125" t="str">
        <f>DATA!G84</f>
        <v>Rate netto (pro Zimmer)</v>
      </c>
      <c r="H7" s="125" t="s">
        <v>40</v>
      </c>
      <c r="I7" s="126" t="s">
        <v>102</v>
      </c>
      <c r="J7" s="122" t="s">
        <v>35</v>
      </c>
      <c r="K7" s="124" t="s">
        <v>36</v>
      </c>
      <c r="L7" s="122" t="s">
        <v>29</v>
      </c>
      <c r="M7" s="122" t="s">
        <v>38</v>
      </c>
      <c r="N7" s="124" t="s">
        <v>37</v>
      </c>
    </row>
    <row r="8" spans="1:17" ht="24.75" customHeight="1" x14ac:dyDescent="0.35">
      <c r="A8" s="17">
        <v>1</v>
      </c>
      <c r="B8" s="17">
        <f>F8</f>
        <v>6</v>
      </c>
      <c r="C8" s="17">
        <f>K8</f>
        <v>5</v>
      </c>
      <c r="D8" s="18" t="str">
        <f>DATA!C85</f>
        <v>Geschäftskunden 1</v>
      </c>
      <c r="E8" s="130">
        <f>DATA!F85</f>
        <v>1525</v>
      </c>
      <c r="F8" s="131">
        <f t="shared" ref="F8:F22" si="0">RANK(E8,E$8:E$22,0)</f>
        <v>6</v>
      </c>
      <c r="G8" s="104">
        <f>DATA!G85</f>
        <v>95</v>
      </c>
      <c r="H8" s="104">
        <f>BMcost!J8</f>
        <v>12.349307280094106</v>
      </c>
      <c r="I8" s="36">
        <f>G8-H8</f>
        <v>82.650692719905891</v>
      </c>
      <c r="J8" s="19">
        <f>E8*G8</f>
        <v>144875</v>
      </c>
      <c r="K8" s="131">
        <f>RANK(J8,J$8:J$22,0)</f>
        <v>5</v>
      </c>
      <c r="L8" s="132">
        <f>I8*E8</f>
        <v>126042.30639785649</v>
      </c>
      <c r="M8" s="133">
        <f>IF(J8&gt;0,L8/J8,0)</f>
        <v>0.87000729178848313</v>
      </c>
      <c r="N8" s="142">
        <f t="shared" ref="N8:N22" si="1">RANK(L8,L$8:L$22,0)</f>
        <v>5</v>
      </c>
    </row>
    <row r="9" spans="1:17" ht="15.5" x14ac:dyDescent="0.35">
      <c r="A9" s="20">
        <v>2</v>
      </c>
      <c r="B9" s="20">
        <f t="shared" ref="B9:B22" si="2">F9</f>
        <v>7</v>
      </c>
      <c r="C9" s="20">
        <f t="shared" ref="C9:C22" si="3">K9</f>
        <v>6</v>
      </c>
      <c r="D9" s="21" t="str">
        <f>DATA!C86</f>
        <v>Geschäftskunden 2</v>
      </c>
      <c r="E9" s="134">
        <f>DATA!F86</f>
        <v>1500</v>
      </c>
      <c r="F9" s="135">
        <f t="shared" si="0"/>
        <v>7</v>
      </c>
      <c r="G9" s="105">
        <f>DATA!G86</f>
        <v>90</v>
      </c>
      <c r="H9" s="105">
        <f>BMcost!J9</f>
        <v>12.349307280094106</v>
      </c>
      <c r="I9" s="37">
        <f t="shared" ref="I9:I22" si="4">G9-H9</f>
        <v>77.650692719905891</v>
      </c>
      <c r="J9" s="22">
        <f t="shared" ref="J9:J22" si="5">E9*G9</f>
        <v>135000</v>
      </c>
      <c r="K9" s="135">
        <f>RANK(J9,J$8:J$22,0)</f>
        <v>6</v>
      </c>
      <c r="L9" s="136">
        <f t="shared" ref="L9:L22" si="6">I9*E9</f>
        <v>116476.03907985883</v>
      </c>
      <c r="M9" s="137">
        <f>IF(J9&gt;0,L9/J9,0)</f>
        <v>0.86278547466562094</v>
      </c>
      <c r="N9" s="143">
        <f t="shared" si="1"/>
        <v>6</v>
      </c>
    </row>
    <row r="10" spans="1:17" ht="15.5" x14ac:dyDescent="0.35">
      <c r="A10" s="20">
        <v>3</v>
      </c>
      <c r="B10" s="20">
        <f t="shared" si="2"/>
        <v>4</v>
      </c>
      <c r="C10" s="20">
        <f t="shared" si="3"/>
        <v>2</v>
      </c>
      <c r="D10" s="21" t="str">
        <f>DATA!C87</f>
        <v>Geschäftskunden 3</v>
      </c>
      <c r="E10" s="134">
        <f>DATA!F87</f>
        <v>2800</v>
      </c>
      <c r="F10" s="135">
        <f t="shared" si="0"/>
        <v>4</v>
      </c>
      <c r="G10" s="105">
        <f>DATA!G87</f>
        <v>85</v>
      </c>
      <c r="H10" s="105">
        <f>BMcost!J10</f>
        <v>12.349307280094106</v>
      </c>
      <c r="I10" s="37">
        <f t="shared" si="4"/>
        <v>72.650692719905891</v>
      </c>
      <c r="J10" s="22">
        <f t="shared" si="5"/>
        <v>238000</v>
      </c>
      <c r="K10" s="135">
        <f t="shared" ref="K10:K22" si="7">RANK(J10,J$8:J$22,0)</f>
        <v>2</v>
      </c>
      <c r="L10" s="136">
        <f t="shared" si="6"/>
        <v>203421.93961573648</v>
      </c>
      <c r="M10" s="137">
        <f t="shared" ref="M10:M22" si="8">IF(J10&gt;0,L10/J10,0)</f>
        <v>0.85471403199889273</v>
      </c>
      <c r="N10" s="143">
        <f t="shared" si="1"/>
        <v>2</v>
      </c>
    </row>
    <row r="11" spans="1:17" ht="15.5" x14ac:dyDescent="0.35">
      <c r="A11" s="20">
        <v>4</v>
      </c>
      <c r="B11" s="20">
        <f t="shared" si="2"/>
        <v>7</v>
      </c>
      <c r="C11" s="20">
        <f t="shared" si="3"/>
        <v>7</v>
      </c>
      <c r="D11" s="21" t="str">
        <f>DATA!C88</f>
        <v>Geschäftskunden 4</v>
      </c>
      <c r="E11" s="134">
        <f>DATA!F88</f>
        <v>1500</v>
      </c>
      <c r="F11" s="135">
        <f t="shared" si="0"/>
        <v>7</v>
      </c>
      <c r="G11" s="105">
        <f>DATA!G88</f>
        <v>80</v>
      </c>
      <c r="H11" s="105">
        <f>BMcost!J11</f>
        <v>12.349307280094106</v>
      </c>
      <c r="I11" s="37">
        <f t="shared" si="4"/>
        <v>67.650692719905891</v>
      </c>
      <c r="J11" s="22">
        <f t="shared" si="5"/>
        <v>120000</v>
      </c>
      <c r="K11" s="135">
        <f t="shared" si="7"/>
        <v>7</v>
      </c>
      <c r="L11" s="136">
        <f t="shared" si="6"/>
        <v>101476.03907985883</v>
      </c>
      <c r="M11" s="137">
        <f t="shared" si="8"/>
        <v>0.84563365899882359</v>
      </c>
      <c r="N11" s="143">
        <f t="shared" si="1"/>
        <v>7</v>
      </c>
    </row>
    <row r="12" spans="1:17" ht="15.5" x14ac:dyDescent="0.35">
      <c r="A12" s="20">
        <v>5</v>
      </c>
      <c r="B12" s="20">
        <f t="shared" si="2"/>
        <v>2</v>
      </c>
      <c r="C12" s="20">
        <f t="shared" si="3"/>
        <v>1</v>
      </c>
      <c r="D12" s="21" t="str">
        <f>DATA!C89</f>
        <v>Geschäftskunden 5</v>
      </c>
      <c r="E12" s="134">
        <f>DATA!F89</f>
        <v>4400</v>
      </c>
      <c r="F12" s="135">
        <f t="shared" si="0"/>
        <v>2</v>
      </c>
      <c r="G12" s="105">
        <f>DATA!G89</f>
        <v>75</v>
      </c>
      <c r="H12" s="105">
        <f>BMcost!J12</f>
        <v>12.349307280094106</v>
      </c>
      <c r="I12" s="37">
        <f t="shared" si="4"/>
        <v>62.650692719905891</v>
      </c>
      <c r="J12" s="22">
        <f t="shared" si="5"/>
        <v>330000</v>
      </c>
      <c r="K12" s="135">
        <f t="shared" si="7"/>
        <v>1</v>
      </c>
      <c r="L12" s="136">
        <f t="shared" si="6"/>
        <v>275663.04796758591</v>
      </c>
      <c r="M12" s="137">
        <f t="shared" si="8"/>
        <v>0.8353425695987452</v>
      </c>
      <c r="N12" s="143">
        <f t="shared" si="1"/>
        <v>1</v>
      </c>
    </row>
    <row r="13" spans="1:17" ht="15.5" x14ac:dyDescent="0.35">
      <c r="A13" s="20">
        <v>6</v>
      </c>
      <c r="B13" s="20">
        <f t="shared" si="2"/>
        <v>11</v>
      </c>
      <c r="C13" s="20">
        <f t="shared" si="3"/>
        <v>10</v>
      </c>
      <c r="D13" s="21" t="str">
        <f>DATA!C90</f>
        <v>Geschäftskunden 6</v>
      </c>
      <c r="E13" s="134">
        <f>DATA!F90</f>
        <v>780</v>
      </c>
      <c r="F13" s="135">
        <f t="shared" si="0"/>
        <v>11</v>
      </c>
      <c r="G13" s="105">
        <f>DATA!G90</f>
        <v>70</v>
      </c>
      <c r="H13" s="105">
        <f>BMcost!J13</f>
        <v>12.349307280094106</v>
      </c>
      <c r="I13" s="37">
        <f t="shared" si="4"/>
        <v>57.650692719905891</v>
      </c>
      <c r="J13" s="22">
        <f t="shared" si="5"/>
        <v>54600</v>
      </c>
      <c r="K13" s="135">
        <f t="shared" si="7"/>
        <v>10</v>
      </c>
      <c r="L13" s="136">
        <f t="shared" si="6"/>
        <v>44967.540321526598</v>
      </c>
      <c r="M13" s="137">
        <f t="shared" si="8"/>
        <v>0.82358132457008426</v>
      </c>
      <c r="N13" s="143">
        <f t="shared" si="1"/>
        <v>9</v>
      </c>
    </row>
    <row r="14" spans="1:17" ht="15.5" x14ac:dyDescent="0.35">
      <c r="A14" s="20">
        <v>7</v>
      </c>
      <c r="B14" s="20">
        <f t="shared" si="2"/>
        <v>3</v>
      </c>
      <c r="C14" s="20">
        <f t="shared" si="3"/>
        <v>4</v>
      </c>
      <c r="D14" s="21" t="str">
        <f>DATA!C91</f>
        <v>Geschäftskunden 7</v>
      </c>
      <c r="E14" s="134">
        <f>DATA!F91</f>
        <v>3050</v>
      </c>
      <c r="F14" s="135">
        <f t="shared" si="0"/>
        <v>3</v>
      </c>
      <c r="G14" s="105">
        <f>DATA!G91</f>
        <v>65</v>
      </c>
      <c r="H14" s="105">
        <f>BMcost!J14</f>
        <v>12.349307280094106</v>
      </c>
      <c r="I14" s="37">
        <f t="shared" si="4"/>
        <v>52.650692719905891</v>
      </c>
      <c r="J14" s="22">
        <f t="shared" si="5"/>
        <v>198250</v>
      </c>
      <c r="K14" s="135">
        <f t="shared" si="7"/>
        <v>4</v>
      </c>
      <c r="L14" s="136">
        <f t="shared" si="6"/>
        <v>160584.61279571298</v>
      </c>
      <c r="M14" s="137">
        <f t="shared" si="8"/>
        <v>0.81001065722932142</v>
      </c>
      <c r="N14" s="143">
        <f t="shared" si="1"/>
        <v>4</v>
      </c>
    </row>
    <row r="15" spans="1:17" ht="15.5" x14ac:dyDescent="0.35">
      <c r="A15" s="20">
        <v>8</v>
      </c>
      <c r="B15" s="20">
        <f t="shared" si="2"/>
        <v>12</v>
      </c>
      <c r="C15" s="20">
        <f t="shared" si="3"/>
        <v>12</v>
      </c>
      <c r="D15" s="21" t="str">
        <f>DATA!C92</f>
        <v>Geschäftskunden 8</v>
      </c>
      <c r="E15" s="134">
        <f>DATA!F92</f>
        <v>500</v>
      </c>
      <c r="F15" s="135">
        <f t="shared" si="0"/>
        <v>12</v>
      </c>
      <c r="G15" s="105">
        <f>DATA!G92</f>
        <v>63</v>
      </c>
      <c r="H15" s="105">
        <f>BMcost!J15</f>
        <v>12.349307280094106</v>
      </c>
      <c r="I15" s="37">
        <f t="shared" si="4"/>
        <v>50.650692719905891</v>
      </c>
      <c r="J15" s="22">
        <f t="shared" si="5"/>
        <v>31500</v>
      </c>
      <c r="K15" s="135">
        <f t="shared" si="7"/>
        <v>12</v>
      </c>
      <c r="L15" s="136">
        <f t="shared" si="6"/>
        <v>25325.346359952946</v>
      </c>
      <c r="M15" s="137">
        <f t="shared" si="8"/>
        <v>0.8039792495223157</v>
      </c>
      <c r="N15" s="143">
        <f t="shared" si="1"/>
        <v>11</v>
      </c>
    </row>
    <row r="16" spans="1:17" ht="15.5" x14ac:dyDescent="0.35">
      <c r="A16" s="20">
        <v>9</v>
      </c>
      <c r="B16" s="20">
        <f t="shared" si="2"/>
        <v>10</v>
      </c>
      <c r="C16" s="20">
        <f t="shared" si="3"/>
        <v>11</v>
      </c>
      <c r="D16" s="21" t="str">
        <f>DATA!C93</f>
        <v>Wochenende</v>
      </c>
      <c r="E16" s="134">
        <f>DATA!F93</f>
        <v>850</v>
      </c>
      <c r="F16" s="135">
        <f t="shared" si="0"/>
        <v>10</v>
      </c>
      <c r="G16" s="105">
        <f>DATA!G93</f>
        <v>60</v>
      </c>
      <c r="H16" s="105">
        <f>BMcost!J16</f>
        <v>12.349307280094106</v>
      </c>
      <c r="I16" s="37">
        <f t="shared" si="4"/>
        <v>47.650692719905891</v>
      </c>
      <c r="J16" s="22">
        <f t="shared" si="5"/>
        <v>51000</v>
      </c>
      <c r="K16" s="135">
        <f t="shared" si="7"/>
        <v>11</v>
      </c>
      <c r="L16" s="136">
        <f t="shared" si="6"/>
        <v>40503.08881192001</v>
      </c>
      <c r="M16" s="137">
        <f t="shared" si="8"/>
        <v>0.79417821199843153</v>
      </c>
      <c r="N16" s="143">
        <f t="shared" si="1"/>
        <v>10</v>
      </c>
    </row>
    <row r="17" spans="1:14" ht="15.5" x14ac:dyDescent="0.35">
      <c r="A17" s="20">
        <v>10</v>
      </c>
      <c r="B17" s="20">
        <f t="shared" si="2"/>
        <v>9</v>
      </c>
      <c r="C17" s="20">
        <f t="shared" si="3"/>
        <v>3</v>
      </c>
      <c r="D17" s="21" t="str">
        <f>DATA!C94</f>
        <v>Messe</v>
      </c>
      <c r="E17" s="134">
        <f>DATA!F94</f>
        <v>1300</v>
      </c>
      <c r="F17" s="135">
        <f t="shared" si="0"/>
        <v>9</v>
      </c>
      <c r="G17" s="105">
        <f>DATA!G94</f>
        <v>155</v>
      </c>
      <c r="H17" s="105">
        <f>BMcost!J17</f>
        <v>12.349307280094106</v>
      </c>
      <c r="I17" s="37">
        <f t="shared" si="4"/>
        <v>142.65069271990589</v>
      </c>
      <c r="J17" s="22">
        <f t="shared" si="5"/>
        <v>201500</v>
      </c>
      <c r="K17" s="135">
        <f t="shared" si="7"/>
        <v>3</v>
      </c>
      <c r="L17" s="136">
        <f t="shared" si="6"/>
        <v>185445.90053587765</v>
      </c>
      <c r="M17" s="137">
        <f t="shared" si="8"/>
        <v>0.92032704980584445</v>
      </c>
      <c r="N17" s="143">
        <f t="shared" si="1"/>
        <v>3</v>
      </c>
    </row>
    <row r="18" spans="1:14" ht="15.5" x14ac:dyDescent="0.35">
      <c r="A18" s="20">
        <v>11</v>
      </c>
      <c r="B18" s="20">
        <f t="shared" si="2"/>
        <v>15</v>
      </c>
      <c r="C18" s="20">
        <f t="shared" si="3"/>
        <v>15</v>
      </c>
      <c r="D18" s="21" t="str">
        <f>DATA!C95</f>
        <v>Walk-In</v>
      </c>
      <c r="E18" s="134">
        <f>DATA!F95</f>
        <v>80</v>
      </c>
      <c r="F18" s="135">
        <f t="shared" si="0"/>
        <v>15</v>
      </c>
      <c r="G18" s="105">
        <f>DATA!G95</f>
        <v>90</v>
      </c>
      <c r="H18" s="105">
        <f>BMcost!J18</f>
        <v>17.03637433015292</v>
      </c>
      <c r="I18" s="37">
        <f t="shared" si="4"/>
        <v>72.963625669847076</v>
      </c>
      <c r="J18" s="22">
        <f t="shared" si="5"/>
        <v>7200</v>
      </c>
      <c r="K18" s="135">
        <f t="shared" si="7"/>
        <v>15</v>
      </c>
      <c r="L18" s="136">
        <f t="shared" si="6"/>
        <v>5837.0900535877663</v>
      </c>
      <c r="M18" s="137">
        <f t="shared" si="8"/>
        <v>0.81070695188718978</v>
      </c>
      <c r="N18" s="143">
        <f t="shared" si="1"/>
        <v>13</v>
      </c>
    </row>
    <row r="19" spans="1:14" ht="15.5" x14ac:dyDescent="0.35">
      <c r="A19" s="20">
        <v>12</v>
      </c>
      <c r="B19" s="20">
        <f t="shared" si="2"/>
        <v>1</v>
      </c>
      <c r="C19" s="20">
        <f t="shared" si="3"/>
        <v>9</v>
      </c>
      <c r="D19" s="21" t="str">
        <f>DATA!C96</f>
        <v>Busreisen</v>
      </c>
      <c r="E19" s="134">
        <f>DATA!F96</f>
        <v>8560</v>
      </c>
      <c r="F19" s="135">
        <f t="shared" si="0"/>
        <v>1</v>
      </c>
      <c r="G19" s="105">
        <f>DATA!G96</f>
        <v>10</v>
      </c>
      <c r="H19" s="105">
        <f>BMcost!J19</f>
        <v>20.18152773383725</v>
      </c>
      <c r="I19" s="37">
        <f t="shared" si="4"/>
        <v>-10.18152773383725</v>
      </c>
      <c r="J19" s="22">
        <f t="shared" si="5"/>
        <v>85600</v>
      </c>
      <c r="K19" s="135">
        <f t="shared" si="7"/>
        <v>9</v>
      </c>
      <c r="L19" s="136">
        <f t="shared" si="6"/>
        <v>-87153.877401646852</v>
      </c>
      <c r="M19" s="137">
        <f t="shared" si="8"/>
        <v>-1.018152773383725</v>
      </c>
      <c r="N19" s="143">
        <f t="shared" si="1"/>
        <v>15</v>
      </c>
    </row>
    <row r="20" spans="1:14" ht="15.5" x14ac:dyDescent="0.35">
      <c r="A20" s="20">
        <v>13</v>
      </c>
      <c r="B20" s="20">
        <f t="shared" si="2"/>
        <v>13</v>
      </c>
      <c r="C20" s="20">
        <f t="shared" si="3"/>
        <v>13</v>
      </c>
      <c r="D20" s="21" t="str">
        <f>DATA!C97</f>
        <v>Touristen</v>
      </c>
      <c r="E20" s="134">
        <f>DATA!F97</f>
        <v>395</v>
      </c>
      <c r="F20" s="135">
        <f t="shared" si="0"/>
        <v>13</v>
      </c>
      <c r="G20" s="105">
        <f>DATA!G97</f>
        <v>50</v>
      </c>
      <c r="H20" s="105">
        <f>BMcost!J20</f>
        <v>18.709479277135941</v>
      </c>
      <c r="I20" s="37">
        <f t="shared" si="4"/>
        <v>31.290520722864059</v>
      </c>
      <c r="J20" s="22">
        <f t="shared" si="5"/>
        <v>19750</v>
      </c>
      <c r="K20" s="135">
        <f t="shared" si="7"/>
        <v>13</v>
      </c>
      <c r="L20" s="136">
        <f t="shared" si="6"/>
        <v>12359.755685531303</v>
      </c>
      <c r="M20" s="137">
        <f t="shared" si="8"/>
        <v>0.62581041445728114</v>
      </c>
      <c r="N20" s="143">
        <f t="shared" si="1"/>
        <v>12</v>
      </c>
    </row>
    <row r="21" spans="1:14" ht="15.5" x14ac:dyDescent="0.35">
      <c r="A21" s="20">
        <v>14</v>
      </c>
      <c r="B21" s="20">
        <f t="shared" si="2"/>
        <v>5</v>
      </c>
      <c r="C21" s="20">
        <f t="shared" si="3"/>
        <v>8</v>
      </c>
      <c r="D21" s="21" t="str">
        <f>DATA!C98</f>
        <v>Tagungen</v>
      </c>
      <c r="E21" s="134">
        <f>DATA!F98</f>
        <v>1570</v>
      </c>
      <c r="F21" s="135">
        <f t="shared" si="0"/>
        <v>5</v>
      </c>
      <c r="G21" s="105">
        <f>DATA!G98</f>
        <v>75</v>
      </c>
      <c r="H21" s="105">
        <f>BMcost!J21</f>
        <v>12.110475838052892</v>
      </c>
      <c r="I21" s="37">
        <f t="shared" si="4"/>
        <v>62.889524161947108</v>
      </c>
      <c r="J21" s="22">
        <f t="shared" si="5"/>
        <v>117750</v>
      </c>
      <c r="K21" s="135">
        <f t="shared" si="7"/>
        <v>8</v>
      </c>
      <c r="L21" s="136">
        <f t="shared" si="6"/>
        <v>98736.552934256964</v>
      </c>
      <c r="M21" s="137">
        <f t="shared" si="8"/>
        <v>0.83852698882596144</v>
      </c>
      <c r="N21" s="143">
        <f t="shared" si="1"/>
        <v>8</v>
      </c>
    </row>
    <row r="22" spans="1:14" ht="15.5" x14ac:dyDescent="0.35">
      <c r="A22" s="23">
        <v>15</v>
      </c>
      <c r="B22" s="23">
        <f t="shared" si="2"/>
        <v>14</v>
      </c>
      <c r="C22" s="23">
        <f t="shared" si="3"/>
        <v>14</v>
      </c>
      <c r="D22" s="24" t="str">
        <f>DATA!C99</f>
        <v>Musicalgäste</v>
      </c>
      <c r="E22" s="138">
        <f>DATA!F99</f>
        <v>98</v>
      </c>
      <c r="F22" s="139">
        <f t="shared" si="0"/>
        <v>14</v>
      </c>
      <c r="G22" s="106">
        <f>DATA!G99</f>
        <v>77</v>
      </c>
      <c r="H22" s="106">
        <f>BMcost!J22</f>
        <v>17.859002424653038</v>
      </c>
      <c r="I22" s="38">
        <f t="shared" si="4"/>
        <v>59.140997575346958</v>
      </c>
      <c r="J22" s="25">
        <f t="shared" si="5"/>
        <v>7546</v>
      </c>
      <c r="K22" s="139">
        <f t="shared" si="7"/>
        <v>14</v>
      </c>
      <c r="L22" s="140">
        <f t="shared" si="6"/>
        <v>5795.817762384002</v>
      </c>
      <c r="M22" s="141">
        <f t="shared" si="8"/>
        <v>0.76806490357593449</v>
      </c>
      <c r="N22" s="144">
        <f t="shared" si="1"/>
        <v>14</v>
      </c>
    </row>
    <row r="23" spans="1:14" s="5" customFormat="1" ht="14.25" customHeight="1" x14ac:dyDescent="0.3">
      <c r="D23" s="127" t="s">
        <v>24</v>
      </c>
      <c r="E23" s="128">
        <f>SUM(E8:E22)</f>
        <v>28908</v>
      </c>
      <c r="F23" s="34"/>
      <c r="G23" s="34"/>
      <c r="H23" s="34"/>
      <c r="I23" s="34"/>
      <c r="J23" s="129">
        <f>SUM(J8:J22)</f>
        <v>1742571</v>
      </c>
      <c r="K23" s="34"/>
      <c r="L23" s="129">
        <f>SUM(L8:L22)</f>
        <v>1315481.1999999995</v>
      </c>
      <c r="M23" s="35">
        <f>IF(L23&gt;0,L23/J23,0)</f>
        <v>0.75490823616369118</v>
      </c>
      <c r="N23" s="34"/>
    </row>
    <row r="25" spans="1:14" ht="21.75" customHeight="1" x14ac:dyDescent="0.25"/>
    <row r="26" spans="1:14" x14ac:dyDescent="0.25">
      <c r="D26" s="145" t="s">
        <v>103</v>
      </c>
      <c r="F26" s="147" t="s">
        <v>104</v>
      </c>
    </row>
    <row r="27" spans="1:14" ht="3.75" customHeight="1" x14ac:dyDescent="0.25"/>
    <row r="28" spans="1:14" x14ac:dyDescent="0.25">
      <c r="D28" s="146" t="s">
        <v>103</v>
      </c>
      <c r="F28" s="148" t="s">
        <v>105</v>
      </c>
    </row>
  </sheetData>
  <phoneticPr fontId="3" type="noConversion"/>
  <conditionalFormatting sqref="M23">
    <cfRule type="expression" dxfId="6" priority="1" stopIfTrue="1">
      <formula>OR($N23=1,$N23=2,$N23=3)</formula>
    </cfRule>
  </conditionalFormatting>
  <conditionalFormatting sqref="A8:M22">
    <cfRule type="expression" dxfId="5" priority="2" stopIfTrue="1">
      <formula>OR($N8=1,$N8=2,$N8=3)</formula>
    </cfRule>
    <cfRule type="expression" dxfId="4" priority="3" stopIfTrue="1">
      <formula>$L8&lt;0</formula>
    </cfRule>
  </conditionalFormatting>
  <conditionalFormatting sqref="N8:N22">
    <cfRule type="cellIs" dxfId="3" priority="4" stopIfTrue="1" operator="between">
      <formula>1</formula>
      <formula>3</formula>
    </cfRule>
    <cfRule type="expression" dxfId="2" priority="5" stopIfTrue="1">
      <formula>$L8&lt;0</formula>
    </cfRule>
  </conditionalFormatting>
  <conditionalFormatting sqref="D26 D28">
    <cfRule type="expression" dxfId="1" priority="6" stopIfTrue="1">
      <formula>OR($N25=1,$N25=2,$N25=3)</formula>
    </cfRule>
    <cfRule type="expression" dxfId="0" priority="7" stopIfTrue="1">
      <formula>$L25&lt;0</formula>
    </cfRule>
  </conditionalFormatting>
  <hyperlinks>
    <hyperlink ref="P1" location="Navigation!A1" display="=Navigation!$A$1"/>
  </hyperlinks>
  <pageMargins left="1.1811023622047245" right="0.39370078740157483" top="0.98425196850393704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zoomScale="90" workbookViewId="0"/>
  </sheetViews>
  <sheetFormatPr baseColWidth="10" defaultRowHeight="12.5" x14ac:dyDescent="0.25"/>
  <cols>
    <col min="1" max="1" width="5.453125" customWidth="1"/>
    <col min="2" max="2" width="18.7265625" customWidth="1"/>
    <col min="3" max="3" width="10.81640625" customWidth="1"/>
    <col min="4" max="4" width="8.26953125" customWidth="1"/>
    <col min="8" max="9" width="12.26953125" customWidth="1"/>
    <col min="10" max="10" width="9.26953125" customWidth="1"/>
    <col min="11" max="11" width="8.1796875" customWidth="1"/>
    <col min="12" max="12" width="2.7265625" customWidth="1"/>
    <col min="13" max="13" width="16.7265625" customWidth="1"/>
    <col min="14" max="14" width="14" customWidth="1"/>
  </cols>
  <sheetData>
    <row r="1" spans="1:14" ht="19.149999999999999" customHeight="1" thickBot="1" x14ac:dyDescent="0.4">
      <c r="A1" s="9" t="s">
        <v>195</v>
      </c>
      <c r="I1" s="31" t="str">
        <f>DATA!A10</f>
        <v>Hotel:</v>
      </c>
      <c r="K1" s="28" t="str">
        <f>DATA!C10</f>
        <v>Villa Maris</v>
      </c>
      <c r="M1" s="212" t="str">
        <f>Navigation!$A$1</f>
        <v>Nights in white satin</v>
      </c>
      <c r="N1" s="207"/>
    </row>
    <row r="2" spans="1:14" ht="7.15" customHeight="1" x14ac:dyDescent="0.3">
      <c r="I2" s="31"/>
    </row>
    <row r="3" spans="1:14" ht="15.5" x14ac:dyDescent="0.35">
      <c r="A3" s="32" t="str">
        <f>DATA!A16</f>
        <v>Berichtswährung:</v>
      </c>
      <c r="B3" s="33"/>
      <c r="C3" s="32" t="str">
        <f>DATA!C16</f>
        <v>EUR</v>
      </c>
      <c r="D3" s="32"/>
      <c r="I3" s="31" t="str">
        <f>DATA!A14</f>
        <v>Jahr:</v>
      </c>
      <c r="K3" s="9">
        <f>DATA!D30</f>
        <v>2014</v>
      </c>
    </row>
    <row r="4" spans="1:14" ht="15.5" x14ac:dyDescent="0.35">
      <c r="A4" s="32"/>
      <c r="B4" s="33"/>
      <c r="C4" s="32"/>
      <c r="D4" s="32"/>
      <c r="K4" s="9"/>
    </row>
    <row r="5" spans="1:14" ht="48" customHeight="1" x14ac:dyDescent="0.35">
      <c r="A5" s="32"/>
      <c r="B5" s="254" t="s">
        <v>190</v>
      </c>
      <c r="C5" s="254" t="str">
        <f>BMrev!J7</f>
        <v>Umsatz Gesamt</v>
      </c>
      <c r="D5" s="255" t="s">
        <v>193</v>
      </c>
      <c r="G5" s="33"/>
      <c r="K5" s="9"/>
    </row>
    <row r="6" spans="1:14" ht="20.5" customHeight="1" x14ac:dyDescent="0.35">
      <c r="A6" s="241">
        <v>1</v>
      </c>
      <c r="B6" s="256" t="str">
        <f>VLOOKUP($A6,BMrev!$C:$M,2,FALSE)</f>
        <v>Geschäftskunden 5</v>
      </c>
      <c r="C6" s="237">
        <f>VLOOKUP($A6,BMrev!$C:$M,8,FALSE)</f>
        <v>330000</v>
      </c>
      <c r="D6" s="250">
        <f t="shared" ref="D6:D12" si="0">C6/C$12</f>
        <v>0.18937535400279243</v>
      </c>
      <c r="G6" s="33"/>
      <c r="K6" s="9"/>
    </row>
    <row r="7" spans="1:14" ht="20.5" customHeight="1" x14ac:dyDescent="0.35">
      <c r="A7" s="242">
        <v>2</v>
      </c>
      <c r="B7" s="257" t="str">
        <f>VLOOKUP($A7,BMrev!$C:$M,2,FALSE)</f>
        <v>Geschäftskunden 3</v>
      </c>
      <c r="C7" s="238">
        <f>VLOOKUP($A7,BMrev!$C:$M,8,FALSE)</f>
        <v>238000</v>
      </c>
      <c r="D7" s="251">
        <f t="shared" si="0"/>
        <v>0.13657980076565029</v>
      </c>
      <c r="G7" s="33"/>
      <c r="K7" s="9"/>
    </row>
    <row r="8" spans="1:14" ht="20.5" customHeight="1" x14ac:dyDescent="0.35">
      <c r="A8" s="243">
        <v>3</v>
      </c>
      <c r="B8" s="257" t="str">
        <f>VLOOKUP($A8,BMrev!$C:$M,2,FALSE)</f>
        <v>Messe</v>
      </c>
      <c r="C8" s="238">
        <f>VLOOKUP($A8,BMrev!$C:$M,8,FALSE)</f>
        <v>201500</v>
      </c>
      <c r="D8" s="251">
        <f t="shared" si="0"/>
        <v>0.11563373888352325</v>
      </c>
      <c r="G8" s="33"/>
      <c r="K8" s="9"/>
    </row>
    <row r="9" spans="1:14" ht="20.5" customHeight="1" x14ac:dyDescent="0.35">
      <c r="A9" s="244">
        <v>4</v>
      </c>
      <c r="B9" s="257" t="str">
        <f>VLOOKUP($A9,BMrev!$C:$M,2,FALSE)</f>
        <v>Geschäftskunden 7</v>
      </c>
      <c r="C9" s="238">
        <f>VLOOKUP($A9,BMrev!$C:$M,8,FALSE)</f>
        <v>198250</v>
      </c>
      <c r="D9" s="251">
        <f t="shared" si="0"/>
        <v>0.1137686785789503</v>
      </c>
      <c r="G9" s="33"/>
      <c r="K9" s="9"/>
    </row>
    <row r="10" spans="1:14" ht="20.5" customHeight="1" x14ac:dyDescent="0.35">
      <c r="A10" s="245">
        <v>5</v>
      </c>
      <c r="B10" s="258" t="str">
        <f>VLOOKUP($A10,BMrev!$C:$M,2,FALSE)</f>
        <v>Geschäftskunden 1</v>
      </c>
      <c r="C10" s="239">
        <f>VLOOKUP($A10,BMrev!$C:$M,8,FALSE)</f>
        <v>144875</v>
      </c>
      <c r="D10" s="252">
        <f t="shared" si="0"/>
        <v>8.3138649730771369E-2</v>
      </c>
      <c r="G10" s="33"/>
      <c r="K10" s="9"/>
    </row>
    <row r="11" spans="1:14" ht="20.5" customHeight="1" x14ac:dyDescent="0.35">
      <c r="A11" s="246"/>
      <c r="B11" s="236" t="s">
        <v>191</v>
      </c>
      <c r="C11" s="239">
        <f>BMrev!J23-SUM(C6:C10)</f>
        <v>629946</v>
      </c>
      <c r="D11" s="253">
        <f t="shared" si="0"/>
        <v>0.36150377803831235</v>
      </c>
      <c r="G11" s="33"/>
      <c r="K11" s="9"/>
    </row>
    <row r="12" spans="1:14" ht="20.5" customHeight="1" x14ac:dyDescent="0.35">
      <c r="A12" s="235"/>
      <c r="B12" s="236" t="s">
        <v>192</v>
      </c>
      <c r="C12" s="240">
        <f>SUM(C6:C11)</f>
        <v>1742571</v>
      </c>
      <c r="D12" s="253">
        <f t="shared" si="0"/>
        <v>1</v>
      </c>
      <c r="G12" s="33"/>
      <c r="K12" s="9"/>
    </row>
    <row r="13" spans="1:14" s="5" customFormat="1" ht="19.149999999999999" customHeight="1" x14ac:dyDescent="0.35">
      <c r="A13" s="247"/>
      <c r="B13" s="247"/>
      <c r="C13" s="248"/>
      <c r="D13" s="249"/>
      <c r="E13"/>
      <c r="F13"/>
      <c r="G13" s="33"/>
      <c r="H13"/>
      <c r="I13"/>
      <c r="J13"/>
      <c r="K13" s="9"/>
    </row>
    <row r="14" spans="1:14" ht="48" customHeight="1" x14ac:dyDescent="0.35">
      <c r="A14" s="264"/>
      <c r="B14" s="254" t="s">
        <v>194</v>
      </c>
      <c r="C14" s="254" t="str">
        <f>BMrev!E7</f>
        <v>Anzahl  Zimmer</v>
      </c>
      <c r="D14" s="255" t="s">
        <v>193</v>
      </c>
      <c r="G14" s="33"/>
      <c r="K14" s="9"/>
    </row>
    <row r="15" spans="1:14" ht="20.5" customHeight="1" x14ac:dyDescent="0.35">
      <c r="A15" s="259">
        <v>1</v>
      </c>
      <c r="B15" s="256" t="str">
        <f>VLOOKUP($A15,BMrev!$B:$M,3,FALSE)</f>
        <v>Busreisen</v>
      </c>
      <c r="C15" s="237">
        <f>VLOOKUP($A15,BMrev!$B:$M,4,FALSE)</f>
        <v>8560</v>
      </c>
      <c r="D15" s="250">
        <f t="shared" ref="D15:D21" si="1">C15/C$21</f>
        <v>0.29611180296111805</v>
      </c>
      <c r="G15" s="33"/>
      <c r="K15" s="9"/>
    </row>
    <row r="16" spans="1:14" ht="20.5" customHeight="1" x14ac:dyDescent="0.35">
      <c r="A16" s="261">
        <v>2</v>
      </c>
      <c r="B16" s="257" t="str">
        <f>VLOOKUP($A16,BMrev!$B:$M,3,FALSE)</f>
        <v>Geschäftskunden 5</v>
      </c>
      <c r="C16" s="238">
        <f>VLOOKUP($A16,BMrev!$B:$M,4,FALSE)</f>
        <v>4400</v>
      </c>
      <c r="D16" s="251">
        <f t="shared" si="1"/>
        <v>0.15220700152207001</v>
      </c>
      <c r="G16" s="33"/>
      <c r="K16" s="9"/>
    </row>
    <row r="17" spans="1:11" ht="20.5" customHeight="1" x14ac:dyDescent="0.35">
      <c r="A17" s="260">
        <v>3</v>
      </c>
      <c r="B17" s="257" t="str">
        <f>VLOOKUP($A17,BMrev!$B:$M,3,FALSE)</f>
        <v>Geschäftskunden 7</v>
      </c>
      <c r="C17" s="238">
        <f>VLOOKUP($A17,BMrev!$B:$M,4,FALSE)</f>
        <v>3050</v>
      </c>
      <c r="D17" s="251">
        <f t="shared" si="1"/>
        <v>0.10550712605507126</v>
      </c>
      <c r="G17" s="33"/>
      <c r="K17" s="9"/>
    </row>
    <row r="18" spans="1:11" ht="20.5" customHeight="1" x14ac:dyDescent="0.35">
      <c r="A18" s="263">
        <v>4</v>
      </c>
      <c r="B18" s="257" t="str">
        <f>VLOOKUP($A18,BMrev!$B:$M,3,FALSE)</f>
        <v>Geschäftskunden 3</v>
      </c>
      <c r="C18" s="238">
        <f>VLOOKUP($A18,BMrev!$B:$M,4,FALSE)</f>
        <v>2800</v>
      </c>
      <c r="D18" s="251">
        <f t="shared" si="1"/>
        <v>9.6859000968590014E-2</v>
      </c>
      <c r="G18" s="33"/>
      <c r="K18" s="9"/>
    </row>
    <row r="19" spans="1:11" ht="20.5" customHeight="1" x14ac:dyDescent="0.35">
      <c r="A19" s="262">
        <v>5</v>
      </c>
      <c r="B19" s="258" t="str">
        <f>VLOOKUP($A19,BMrev!$B:$M,3,FALSE)</f>
        <v>Tagungen</v>
      </c>
      <c r="C19" s="239">
        <f>VLOOKUP($A19,BMrev!$B:$M,4,FALSE)</f>
        <v>1570</v>
      </c>
      <c r="D19" s="252">
        <f t="shared" si="1"/>
        <v>5.4310225543102254E-2</v>
      </c>
      <c r="G19" s="33"/>
      <c r="K19" s="9"/>
    </row>
    <row r="20" spans="1:11" ht="20.5" customHeight="1" x14ac:dyDescent="0.35">
      <c r="A20" s="246"/>
      <c r="B20" s="236" t="s">
        <v>191</v>
      </c>
      <c r="C20" s="239">
        <f>BMrev!E23-SUM(C15:C19)</f>
        <v>8528</v>
      </c>
      <c r="D20" s="253">
        <f t="shared" si="1"/>
        <v>0.29500484295004842</v>
      </c>
      <c r="G20" s="33"/>
      <c r="K20" s="9"/>
    </row>
    <row r="21" spans="1:11" ht="20.5" customHeight="1" x14ac:dyDescent="0.35">
      <c r="A21" s="235"/>
      <c r="B21" s="236" t="s">
        <v>192</v>
      </c>
      <c r="C21" s="240">
        <f>SUM(C15:C20)</f>
        <v>28908</v>
      </c>
      <c r="D21" s="253">
        <f t="shared" si="1"/>
        <v>1</v>
      </c>
      <c r="G21" s="33"/>
      <c r="K21" s="9"/>
    </row>
  </sheetData>
  <sheetCalcPr fullCalcOnLoad="1"/>
  <phoneticPr fontId="3" type="noConversion"/>
  <hyperlinks>
    <hyperlink ref="M1" location="Navigation!A1" display="=Navigation!$A$1"/>
  </hyperlinks>
  <pageMargins left="1.1811023622047245" right="0.19685039370078741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E259"/>
  <sheetViews>
    <sheetView showGridLines="0" zoomScale="85" workbookViewId="0">
      <selection activeCell="D9" sqref="D9"/>
    </sheetView>
  </sheetViews>
  <sheetFormatPr baseColWidth="10" defaultColWidth="11.54296875" defaultRowHeight="13" x14ac:dyDescent="0.3"/>
  <cols>
    <col min="1" max="1" width="29.81640625" style="5" customWidth="1"/>
    <col min="2" max="2" width="15.26953125" style="178" customWidth="1"/>
    <col min="3" max="3" width="3" style="178" customWidth="1"/>
    <col min="4" max="4" width="80.26953125" style="5" customWidth="1"/>
    <col min="5" max="5" width="22" style="182" customWidth="1"/>
    <col min="6" max="16384" width="11.54296875" style="5"/>
  </cols>
  <sheetData>
    <row r="1" spans="1:5" ht="30.5" thickBot="1" x14ac:dyDescent="0.65">
      <c r="A1" s="205" t="s">
        <v>175</v>
      </c>
      <c r="B1" s="179"/>
      <c r="C1" s="180" t="s">
        <v>136</v>
      </c>
      <c r="D1" s="181"/>
      <c r="E1" s="310" t="s">
        <v>210</v>
      </c>
    </row>
    <row r="2" spans="1:5" ht="13.5" thickBot="1" x14ac:dyDescent="0.35"/>
    <row r="3" spans="1:5" ht="31.5" customHeight="1" thickBot="1" x14ac:dyDescent="0.35">
      <c r="A3" s="183" t="s">
        <v>137</v>
      </c>
      <c r="B3" s="184" t="s">
        <v>138</v>
      </c>
      <c r="C3" s="184"/>
      <c r="D3" s="183" t="s">
        <v>139</v>
      </c>
      <c r="E3" s="185" t="s">
        <v>140</v>
      </c>
    </row>
    <row r="4" spans="1:5" ht="36.75" customHeight="1" thickBot="1" x14ac:dyDescent="0.35">
      <c r="A4" s="186" t="s">
        <v>141</v>
      </c>
      <c r="B4" s="187" t="s">
        <v>142</v>
      </c>
      <c r="C4" s="188"/>
      <c r="D4" s="189" t="s">
        <v>143</v>
      </c>
      <c r="E4" s="190" t="s">
        <v>144</v>
      </c>
    </row>
    <row r="5" spans="1:5" ht="36.75" customHeight="1" thickBot="1" x14ac:dyDescent="0.35">
      <c r="A5" s="186" t="s">
        <v>145</v>
      </c>
      <c r="B5" s="187" t="s">
        <v>146</v>
      </c>
      <c r="C5" s="191"/>
      <c r="D5" s="189" t="str">
        <f>DATA!A1</f>
        <v>DATENEINGABE</v>
      </c>
      <c r="E5" s="190" t="s">
        <v>144</v>
      </c>
    </row>
    <row r="6" spans="1:5" ht="36.75" customHeight="1" thickBot="1" x14ac:dyDescent="0.35">
      <c r="A6" s="186" t="s">
        <v>148</v>
      </c>
      <c r="B6" s="187" t="s">
        <v>146</v>
      </c>
      <c r="C6" s="191"/>
      <c r="D6" s="189" t="str">
        <f>BMcost!A1</f>
        <v>Variable Logis-Kosten pro Gäste-Segment Vorjahr</v>
      </c>
      <c r="E6" s="190" t="s">
        <v>144</v>
      </c>
    </row>
    <row r="7" spans="1:5" ht="36.75" customHeight="1" thickBot="1" x14ac:dyDescent="0.35">
      <c r="A7" s="186" t="s">
        <v>149</v>
      </c>
      <c r="B7" s="187" t="s">
        <v>146</v>
      </c>
      <c r="C7" s="191"/>
      <c r="D7" s="189" t="str">
        <f>BMrev!A1</f>
        <v>Umsatz und Deckungsbeitrag Logis Vorjahr</v>
      </c>
      <c r="E7" s="190" t="s">
        <v>144</v>
      </c>
    </row>
    <row r="8" spans="1:5" ht="36.75" customHeight="1" thickBot="1" x14ac:dyDescent="0.35">
      <c r="A8" s="186" t="s">
        <v>196</v>
      </c>
      <c r="B8" s="187" t="s">
        <v>147</v>
      </c>
      <c r="C8" s="191"/>
      <c r="D8" s="189" t="str">
        <f>BMg!A1</f>
        <v>TOP 5  Umsatz und Übernachtungen Vorjahr</v>
      </c>
      <c r="E8" s="190" t="s">
        <v>144</v>
      </c>
    </row>
    <row r="9" spans="1:5" ht="36.75" customHeight="1" thickBot="1" x14ac:dyDescent="0.35">
      <c r="A9" s="186" t="s">
        <v>150</v>
      </c>
      <c r="B9" s="187" t="s">
        <v>146</v>
      </c>
      <c r="C9" s="192"/>
      <c r="D9" s="193" t="str">
        <f>'PC1'!B22</f>
        <v>Die Regeln für das Arbeiten mit Deckungsbeiträgen</v>
      </c>
      <c r="E9" s="190" t="s">
        <v>144</v>
      </c>
    </row>
    <row r="10" spans="1:5" ht="36.75" customHeight="1" thickBot="1" x14ac:dyDescent="0.35">
      <c r="A10" s="186" t="s">
        <v>151</v>
      </c>
      <c r="B10" s="187" t="s">
        <v>147</v>
      </c>
      <c r="C10" s="192"/>
      <c r="D10" s="193" t="s">
        <v>155</v>
      </c>
      <c r="E10" s="190" t="s">
        <v>144</v>
      </c>
    </row>
    <row r="11" spans="1:5" ht="36.75" customHeight="1" thickBot="1" x14ac:dyDescent="0.35">
      <c r="A11" s="186" t="s">
        <v>152</v>
      </c>
      <c r="B11" s="187" t="s">
        <v>146</v>
      </c>
      <c r="C11" s="192"/>
      <c r="D11" s="193" t="s">
        <v>156</v>
      </c>
      <c r="E11" s="190" t="s">
        <v>144</v>
      </c>
    </row>
    <row r="12" spans="1:5" ht="36.75" customHeight="1" thickBot="1" x14ac:dyDescent="0.35">
      <c r="A12" s="186" t="s">
        <v>153</v>
      </c>
      <c r="B12" s="187" t="s">
        <v>146</v>
      </c>
      <c r="C12" s="192"/>
      <c r="D12" s="193" t="s">
        <v>157</v>
      </c>
      <c r="E12" s="190" t="s">
        <v>144</v>
      </c>
    </row>
    <row r="13" spans="1:5" ht="36.75" customHeight="1" thickBot="1" x14ac:dyDescent="0.35">
      <c r="A13" s="186" t="s">
        <v>198</v>
      </c>
      <c r="B13" s="187" t="s">
        <v>146</v>
      </c>
      <c r="C13" s="192"/>
      <c r="D13" s="193" t="str">
        <f>'PC5'!E6</f>
        <v>Die Preisuntergrenze für das laufende Jahr</v>
      </c>
      <c r="E13" s="190" t="s">
        <v>144</v>
      </c>
    </row>
    <row r="14" spans="1:5" ht="25.15" customHeight="1" x14ac:dyDescent="0.3"/>
    <row r="15" spans="1:5" ht="25.15" customHeight="1" x14ac:dyDescent="0.3"/>
    <row r="16" spans="1:5" ht="25.15" customHeight="1" x14ac:dyDescent="0.3"/>
    <row r="17" ht="25.15" customHeight="1" x14ac:dyDescent="0.3"/>
    <row r="18" ht="25.15" customHeight="1" x14ac:dyDescent="0.3"/>
    <row r="19" ht="25.15" customHeight="1" x14ac:dyDescent="0.3"/>
    <row r="20" ht="25.15" customHeight="1" x14ac:dyDescent="0.3"/>
    <row r="21" ht="25.15" customHeight="1" x14ac:dyDescent="0.3"/>
    <row r="22" ht="25.15" customHeight="1" x14ac:dyDescent="0.3"/>
    <row r="23" ht="25.15" customHeight="1" x14ac:dyDescent="0.3"/>
    <row r="24" ht="25.15" customHeight="1" x14ac:dyDescent="0.3"/>
    <row r="25" ht="25.15" customHeight="1" x14ac:dyDescent="0.3"/>
    <row r="26" ht="25.15" customHeight="1" x14ac:dyDescent="0.3"/>
    <row r="27" ht="25.15" customHeight="1" x14ac:dyDescent="0.3"/>
    <row r="28" ht="25.15" customHeight="1" x14ac:dyDescent="0.3"/>
    <row r="29" ht="25.15" customHeight="1" x14ac:dyDescent="0.3"/>
    <row r="30" ht="25.15" customHeight="1" x14ac:dyDescent="0.3"/>
    <row r="31" ht="25.15" customHeight="1" x14ac:dyDescent="0.3"/>
    <row r="32" ht="25.15" customHeight="1" x14ac:dyDescent="0.3"/>
    <row r="33" ht="25.15" customHeight="1" x14ac:dyDescent="0.3"/>
    <row r="34" ht="25.15" customHeight="1" x14ac:dyDescent="0.3"/>
    <row r="35" ht="25.15" customHeight="1" x14ac:dyDescent="0.3"/>
    <row r="36" ht="25.15" customHeight="1" x14ac:dyDescent="0.3"/>
    <row r="37" ht="25.15" customHeight="1" x14ac:dyDescent="0.3"/>
    <row r="38" ht="25.15" customHeight="1" x14ac:dyDescent="0.3"/>
    <row r="39" ht="25.15" customHeight="1" x14ac:dyDescent="0.3"/>
    <row r="40" ht="25.15" customHeight="1" x14ac:dyDescent="0.3"/>
    <row r="41" ht="25.15" customHeight="1" x14ac:dyDescent="0.3"/>
    <row r="42" ht="25.15" customHeight="1" x14ac:dyDescent="0.3"/>
    <row r="43" ht="25.15" customHeight="1" x14ac:dyDescent="0.3"/>
    <row r="44" ht="25.15" customHeight="1" x14ac:dyDescent="0.3"/>
    <row r="45" ht="25.15" customHeight="1" x14ac:dyDescent="0.3"/>
    <row r="46" ht="25.15" customHeight="1" x14ac:dyDescent="0.3"/>
    <row r="47" ht="25.15" customHeight="1" x14ac:dyDescent="0.3"/>
    <row r="48" ht="25.15" customHeight="1" x14ac:dyDescent="0.3"/>
    <row r="49" ht="25.15" customHeight="1" x14ac:dyDescent="0.3"/>
    <row r="50" ht="25.15" customHeight="1" x14ac:dyDescent="0.3"/>
    <row r="51" ht="25.15" customHeight="1" x14ac:dyDescent="0.3"/>
    <row r="52" ht="25.15" customHeight="1" x14ac:dyDescent="0.3"/>
    <row r="53" ht="25.15" customHeight="1" x14ac:dyDescent="0.3"/>
    <row r="54" ht="25.15" customHeight="1" x14ac:dyDescent="0.3"/>
    <row r="55" ht="25.15" customHeight="1" x14ac:dyDescent="0.3"/>
    <row r="56" ht="25.15" customHeight="1" x14ac:dyDescent="0.3"/>
    <row r="57" ht="25.15" customHeight="1" x14ac:dyDescent="0.3"/>
    <row r="58" ht="25.15" customHeight="1" x14ac:dyDescent="0.3"/>
    <row r="59" ht="25.15" customHeight="1" x14ac:dyDescent="0.3"/>
    <row r="60" ht="25.15" customHeight="1" x14ac:dyDescent="0.3"/>
    <row r="61" ht="25.15" customHeight="1" x14ac:dyDescent="0.3"/>
    <row r="62" ht="25.15" customHeight="1" x14ac:dyDescent="0.3"/>
    <row r="63" ht="25.15" customHeight="1" x14ac:dyDescent="0.3"/>
    <row r="64" ht="25.15" customHeight="1" x14ac:dyDescent="0.3"/>
    <row r="65" ht="25.15" customHeight="1" x14ac:dyDescent="0.3"/>
    <row r="66" ht="25.15" customHeight="1" x14ac:dyDescent="0.3"/>
    <row r="67" ht="25.15" customHeight="1" x14ac:dyDescent="0.3"/>
    <row r="68" ht="25.15" customHeight="1" x14ac:dyDescent="0.3"/>
    <row r="69" ht="25.15" customHeight="1" x14ac:dyDescent="0.3"/>
    <row r="70" ht="25.15" customHeight="1" x14ac:dyDescent="0.3"/>
    <row r="71" ht="25.15" customHeight="1" x14ac:dyDescent="0.3"/>
    <row r="72" ht="25.15" customHeight="1" x14ac:dyDescent="0.3"/>
    <row r="73" ht="25.15" customHeight="1" x14ac:dyDescent="0.3"/>
    <row r="74" ht="25.15" customHeight="1" x14ac:dyDescent="0.3"/>
    <row r="75" ht="25.15" customHeight="1" x14ac:dyDescent="0.3"/>
    <row r="76" ht="25.15" customHeight="1" x14ac:dyDescent="0.3"/>
    <row r="77" ht="25.15" customHeight="1" x14ac:dyDescent="0.3"/>
    <row r="78" ht="25.15" customHeight="1" x14ac:dyDescent="0.3"/>
    <row r="79" ht="25.15" customHeight="1" x14ac:dyDescent="0.3"/>
    <row r="80" ht="25.15" customHeight="1" x14ac:dyDescent="0.3"/>
    <row r="81" ht="25.15" customHeight="1" x14ac:dyDescent="0.3"/>
    <row r="82" ht="25.15" customHeight="1" x14ac:dyDescent="0.3"/>
    <row r="83" ht="25.15" customHeight="1" x14ac:dyDescent="0.3"/>
    <row r="84" ht="25.15" customHeight="1" x14ac:dyDescent="0.3"/>
    <row r="85" ht="25.15" customHeight="1" x14ac:dyDescent="0.3"/>
    <row r="86" ht="25.15" customHeight="1" x14ac:dyDescent="0.3"/>
    <row r="87" ht="25.15" customHeight="1" x14ac:dyDescent="0.3"/>
    <row r="88" ht="25.15" customHeight="1" x14ac:dyDescent="0.3"/>
    <row r="89" ht="25.15" customHeight="1" x14ac:dyDescent="0.3"/>
    <row r="90" ht="25.15" customHeight="1" x14ac:dyDescent="0.3"/>
    <row r="91" ht="25.15" customHeight="1" x14ac:dyDescent="0.3"/>
    <row r="92" ht="25.15" customHeight="1" x14ac:dyDescent="0.3"/>
    <row r="93" ht="25.15" customHeight="1" x14ac:dyDescent="0.3"/>
    <row r="94" ht="25.15" customHeight="1" x14ac:dyDescent="0.3"/>
    <row r="95" ht="25.15" customHeight="1" x14ac:dyDescent="0.3"/>
    <row r="96" ht="25.15" customHeight="1" x14ac:dyDescent="0.3"/>
    <row r="97" ht="25.15" customHeight="1" x14ac:dyDescent="0.3"/>
    <row r="98" ht="25.15" customHeight="1" x14ac:dyDescent="0.3"/>
    <row r="99" ht="25.15" customHeight="1" x14ac:dyDescent="0.3"/>
    <row r="100" ht="25.15" customHeight="1" x14ac:dyDescent="0.3"/>
    <row r="101" ht="25.15" customHeight="1" x14ac:dyDescent="0.3"/>
    <row r="102" ht="25.15" customHeight="1" x14ac:dyDescent="0.3"/>
    <row r="103" ht="25.15" customHeight="1" x14ac:dyDescent="0.3"/>
    <row r="104" ht="25.15" customHeight="1" x14ac:dyDescent="0.3"/>
    <row r="105" ht="25.15" customHeight="1" x14ac:dyDescent="0.3"/>
    <row r="106" ht="25.15" customHeight="1" x14ac:dyDescent="0.3"/>
    <row r="107" ht="25.15" customHeight="1" x14ac:dyDescent="0.3"/>
    <row r="108" ht="25.15" customHeight="1" x14ac:dyDescent="0.3"/>
    <row r="109" ht="25.15" customHeight="1" x14ac:dyDescent="0.3"/>
    <row r="110" ht="25.15" customHeight="1" x14ac:dyDescent="0.3"/>
    <row r="111" ht="25.15" customHeight="1" x14ac:dyDescent="0.3"/>
    <row r="112" ht="25.15" customHeight="1" x14ac:dyDescent="0.3"/>
    <row r="113" ht="25.15" customHeight="1" x14ac:dyDescent="0.3"/>
    <row r="114" ht="25.15" customHeight="1" x14ac:dyDescent="0.3"/>
    <row r="115" ht="25.15" customHeight="1" x14ac:dyDescent="0.3"/>
    <row r="116" ht="25.15" customHeight="1" x14ac:dyDescent="0.3"/>
    <row r="117" ht="25.15" customHeight="1" x14ac:dyDescent="0.3"/>
    <row r="118" ht="25.15" customHeight="1" x14ac:dyDescent="0.3"/>
    <row r="119" ht="25.15" customHeight="1" x14ac:dyDescent="0.3"/>
    <row r="120" ht="25.15" customHeight="1" x14ac:dyDescent="0.3"/>
    <row r="121" ht="25.15" customHeight="1" x14ac:dyDescent="0.3"/>
    <row r="122" ht="25.15" customHeight="1" x14ac:dyDescent="0.3"/>
    <row r="123" ht="25.15" customHeight="1" x14ac:dyDescent="0.3"/>
    <row r="124" ht="25.15" customHeight="1" x14ac:dyDescent="0.3"/>
    <row r="125" ht="25.15" customHeight="1" x14ac:dyDescent="0.3"/>
    <row r="126" ht="25.15" customHeight="1" x14ac:dyDescent="0.3"/>
    <row r="127" ht="25.15" customHeight="1" x14ac:dyDescent="0.3"/>
    <row r="128" ht="25.15" customHeight="1" x14ac:dyDescent="0.3"/>
    <row r="129" ht="25.15" customHeight="1" x14ac:dyDescent="0.3"/>
    <row r="130" ht="25.15" customHeight="1" x14ac:dyDescent="0.3"/>
    <row r="131" ht="25.15" customHeight="1" x14ac:dyDescent="0.3"/>
    <row r="132" ht="25.15" customHeight="1" x14ac:dyDescent="0.3"/>
    <row r="133" ht="25.15" customHeight="1" x14ac:dyDescent="0.3"/>
    <row r="134" ht="25.15" customHeight="1" x14ac:dyDescent="0.3"/>
    <row r="135" ht="25.15" customHeight="1" x14ac:dyDescent="0.3"/>
    <row r="136" ht="25.15" customHeight="1" x14ac:dyDescent="0.3"/>
    <row r="137" ht="25.15" customHeight="1" x14ac:dyDescent="0.3"/>
    <row r="138" ht="25.15" customHeight="1" x14ac:dyDescent="0.3"/>
    <row r="139" ht="25.15" customHeight="1" x14ac:dyDescent="0.3"/>
    <row r="140" ht="25.15" customHeight="1" x14ac:dyDescent="0.3"/>
    <row r="141" ht="25.15" customHeight="1" x14ac:dyDescent="0.3"/>
    <row r="142" ht="25.15" customHeight="1" x14ac:dyDescent="0.3"/>
    <row r="143" ht="25.15" customHeight="1" x14ac:dyDescent="0.3"/>
    <row r="144" ht="25.15" customHeight="1" x14ac:dyDescent="0.3"/>
    <row r="145" ht="25.15" customHeight="1" x14ac:dyDescent="0.3"/>
    <row r="146" ht="25.15" customHeight="1" x14ac:dyDescent="0.3"/>
    <row r="147" ht="25.15" customHeight="1" x14ac:dyDescent="0.3"/>
    <row r="148" ht="25.15" customHeight="1" x14ac:dyDescent="0.3"/>
    <row r="149" ht="25.15" customHeight="1" x14ac:dyDescent="0.3"/>
    <row r="150" ht="25.15" customHeight="1" x14ac:dyDescent="0.3"/>
    <row r="151" ht="25.15" customHeight="1" x14ac:dyDescent="0.3"/>
    <row r="152" ht="25.15" customHeight="1" x14ac:dyDescent="0.3"/>
    <row r="153" ht="25.15" customHeight="1" x14ac:dyDescent="0.3"/>
    <row r="154" ht="25.15" customHeight="1" x14ac:dyDescent="0.3"/>
    <row r="155" ht="25.15" customHeight="1" x14ac:dyDescent="0.3"/>
    <row r="156" ht="25.15" customHeight="1" x14ac:dyDescent="0.3"/>
    <row r="157" ht="25.15" customHeight="1" x14ac:dyDescent="0.3"/>
    <row r="158" ht="25.15" customHeight="1" x14ac:dyDescent="0.3"/>
    <row r="159" ht="25.15" customHeight="1" x14ac:dyDescent="0.3"/>
    <row r="160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  <row r="201" ht="25.15" customHeight="1" x14ac:dyDescent="0.3"/>
    <row r="202" ht="25.15" customHeight="1" x14ac:dyDescent="0.3"/>
    <row r="203" ht="25.15" customHeight="1" x14ac:dyDescent="0.3"/>
    <row r="204" ht="25.15" customHeight="1" x14ac:dyDescent="0.3"/>
    <row r="205" ht="25.15" customHeight="1" x14ac:dyDescent="0.3"/>
    <row r="206" ht="25.15" customHeight="1" x14ac:dyDescent="0.3"/>
    <row r="207" ht="25.15" customHeight="1" x14ac:dyDescent="0.3"/>
    <row r="208" ht="25.15" customHeight="1" x14ac:dyDescent="0.3"/>
    <row r="209" ht="25.15" customHeight="1" x14ac:dyDescent="0.3"/>
    <row r="210" ht="25.15" customHeight="1" x14ac:dyDescent="0.3"/>
    <row r="211" ht="25.15" customHeight="1" x14ac:dyDescent="0.3"/>
    <row r="212" ht="25.15" customHeight="1" x14ac:dyDescent="0.3"/>
    <row r="213" ht="25.15" customHeight="1" x14ac:dyDescent="0.3"/>
    <row r="214" ht="25.15" customHeight="1" x14ac:dyDescent="0.3"/>
    <row r="215" ht="25.15" customHeight="1" x14ac:dyDescent="0.3"/>
    <row r="216" ht="25.15" customHeight="1" x14ac:dyDescent="0.3"/>
    <row r="217" ht="25.15" customHeight="1" x14ac:dyDescent="0.3"/>
    <row r="218" ht="25.15" customHeight="1" x14ac:dyDescent="0.3"/>
    <row r="219" ht="25.15" customHeight="1" x14ac:dyDescent="0.3"/>
    <row r="220" ht="25.15" customHeight="1" x14ac:dyDescent="0.3"/>
    <row r="221" ht="25.15" customHeight="1" x14ac:dyDescent="0.3"/>
    <row r="222" ht="25.15" customHeight="1" x14ac:dyDescent="0.3"/>
    <row r="223" ht="25.15" customHeight="1" x14ac:dyDescent="0.3"/>
    <row r="224" ht="25.15" customHeight="1" x14ac:dyDescent="0.3"/>
    <row r="225" ht="25.15" customHeight="1" x14ac:dyDescent="0.3"/>
    <row r="226" ht="25.15" customHeight="1" x14ac:dyDescent="0.3"/>
    <row r="227" ht="25.15" customHeight="1" x14ac:dyDescent="0.3"/>
    <row r="228" ht="25.15" customHeight="1" x14ac:dyDescent="0.3"/>
    <row r="229" ht="25.15" customHeight="1" x14ac:dyDescent="0.3"/>
    <row r="230" ht="25.15" customHeight="1" x14ac:dyDescent="0.3"/>
    <row r="231" ht="25.15" customHeight="1" x14ac:dyDescent="0.3"/>
    <row r="232" ht="25.15" customHeight="1" x14ac:dyDescent="0.3"/>
    <row r="233" ht="25.15" customHeight="1" x14ac:dyDescent="0.3"/>
    <row r="234" ht="25.15" customHeight="1" x14ac:dyDescent="0.3"/>
    <row r="235" ht="25.15" customHeight="1" x14ac:dyDescent="0.3"/>
    <row r="236" ht="25.15" customHeight="1" x14ac:dyDescent="0.3"/>
    <row r="237" ht="25.15" customHeight="1" x14ac:dyDescent="0.3"/>
    <row r="238" ht="25.15" customHeight="1" x14ac:dyDescent="0.3"/>
    <row r="239" ht="25.15" customHeight="1" x14ac:dyDescent="0.3"/>
    <row r="240" ht="25.15" customHeight="1" x14ac:dyDescent="0.3"/>
    <row r="241" ht="25.15" customHeight="1" x14ac:dyDescent="0.3"/>
    <row r="242" ht="25.15" customHeight="1" x14ac:dyDescent="0.3"/>
    <row r="243" ht="25.15" customHeight="1" x14ac:dyDescent="0.3"/>
    <row r="244" ht="25.15" customHeight="1" x14ac:dyDescent="0.3"/>
    <row r="245" ht="25.15" customHeight="1" x14ac:dyDescent="0.3"/>
    <row r="246" ht="25.15" customHeight="1" x14ac:dyDescent="0.3"/>
    <row r="247" ht="25.15" customHeight="1" x14ac:dyDescent="0.3"/>
    <row r="248" ht="25.15" customHeight="1" x14ac:dyDescent="0.3"/>
    <row r="249" ht="25.15" customHeight="1" x14ac:dyDescent="0.3"/>
    <row r="250" ht="25.15" customHeight="1" x14ac:dyDescent="0.3"/>
    <row r="251" ht="25.15" customHeight="1" x14ac:dyDescent="0.3"/>
    <row r="252" ht="25.15" customHeight="1" x14ac:dyDescent="0.3"/>
    <row r="253" ht="25.15" customHeight="1" x14ac:dyDescent="0.3"/>
    <row r="254" ht="25.15" customHeight="1" x14ac:dyDescent="0.3"/>
    <row r="255" ht="25.15" customHeight="1" x14ac:dyDescent="0.3"/>
    <row r="256" ht="25.15" customHeight="1" x14ac:dyDescent="0.3"/>
    <row r="257" ht="25.15" customHeight="1" x14ac:dyDescent="0.3"/>
    <row r="258" ht="25.15" customHeight="1" x14ac:dyDescent="0.3"/>
    <row r="259" ht="25.15" customHeight="1" x14ac:dyDescent="0.3"/>
  </sheetData>
  <phoneticPr fontId="3" type="noConversion"/>
  <hyperlinks>
    <hyperlink ref="E4" location="WELCOME!A1" display="&amp;"/>
    <hyperlink ref="E5" location="DATA!A1" display="&amp;"/>
    <hyperlink ref="E6" location="BMcost!A1" display="&amp;"/>
    <hyperlink ref="E7" location="BMrev!A1" display="&amp;"/>
    <hyperlink ref="E8" location="BMg!A1" display="&amp;"/>
    <hyperlink ref="E9" location="PC1!A1" display="&amp;"/>
    <hyperlink ref="E10" location="PC2!A1" display="&amp;"/>
    <hyperlink ref="E11" location="PC3!A1" display="&amp;"/>
    <hyperlink ref="E12" location="PC4!A1" display="&amp;"/>
    <hyperlink ref="E13" location="PC5!A1" display="&amp;"/>
  </hyperlinks>
  <printOptions horizontalCentered="1"/>
  <pageMargins left="0.78740157480314965" right="0.78740157480314965" top="0.39370078740157483" bottom="0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01"/>
  <sheetViews>
    <sheetView showGridLines="0" workbookViewId="0">
      <selection activeCell="E9" sqref="E9"/>
    </sheetView>
  </sheetViews>
  <sheetFormatPr baseColWidth="10" defaultRowHeight="12.5" x14ac:dyDescent="0.25"/>
  <cols>
    <col min="1" max="1" width="15.81640625" customWidth="1"/>
    <col min="2" max="2" width="3.453125" customWidth="1"/>
    <col min="3" max="3" width="19.1796875" customWidth="1"/>
    <col min="4" max="4" width="12.7265625" customWidth="1"/>
    <col min="6" max="6" width="12" customWidth="1"/>
    <col min="7" max="7" width="12.453125" customWidth="1"/>
    <col min="8" max="8" width="11.26953125" customWidth="1"/>
    <col min="9" max="9" width="10.453125" customWidth="1"/>
    <col min="10" max="10" width="12.7265625" customWidth="1"/>
    <col min="11" max="11" width="2.1796875" customWidth="1"/>
    <col min="12" max="12" width="4.453125" customWidth="1"/>
  </cols>
  <sheetData>
    <row r="1" spans="1:12" ht="24" thickBot="1" x14ac:dyDescent="0.45">
      <c r="A1" s="86" t="s">
        <v>0</v>
      </c>
      <c r="B1" s="52"/>
      <c r="C1" s="52"/>
      <c r="D1" s="52"/>
      <c r="E1" s="52"/>
      <c r="F1" s="52"/>
      <c r="G1" s="52"/>
      <c r="H1" s="208" t="str">
        <f>Navigation!$A$1</f>
        <v>Nights in white satin</v>
      </c>
      <c r="I1" s="209"/>
      <c r="J1" s="209"/>
      <c r="K1" s="210"/>
      <c r="L1" s="52"/>
    </row>
    <row r="2" spans="1:12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5" x14ac:dyDescent="0.35">
      <c r="A3" s="151" t="s">
        <v>45</v>
      </c>
      <c r="B3" s="152"/>
      <c r="C3" s="152"/>
      <c r="D3" s="152"/>
      <c r="E3" s="152"/>
      <c r="F3" s="152"/>
      <c r="G3" s="152"/>
      <c r="H3" s="152"/>
      <c r="I3" s="52"/>
      <c r="J3" s="52"/>
      <c r="K3" s="52"/>
      <c r="L3" s="52"/>
    </row>
    <row r="4" spans="1:12" ht="15.5" x14ac:dyDescent="0.35">
      <c r="A4" s="151" t="s">
        <v>46</v>
      </c>
      <c r="B4" s="152"/>
      <c r="C4" s="152"/>
      <c r="D4" s="152"/>
      <c r="E4" s="152"/>
      <c r="F4" s="152"/>
      <c r="G4" s="152"/>
      <c r="H4" s="152"/>
      <c r="I4" s="52"/>
      <c r="J4" s="52"/>
      <c r="K4" s="52"/>
      <c r="L4" s="52"/>
    </row>
    <row r="5" spans="1:12" ht="15.5" x14ac:dyDescent="0.35">
      <c r="A5" s="151" t="s">
        <v>47</v>
      </c>
      <c r="B5" s="152"/>
      <c r="C5" s="152"/>
      <c r="D5" s="152"/>
      <c r="E5" s="152"/>
      <c r="F5" s="152"/>
      <c r="G5" s="152"/>
      <c r="H5" s="152"/>
      <c r="I5" s="52"/>
      <c r="J5" s="52"/>
      <c r="K5" s="52"/>
      <c r="L5" s="52"/>
    </row>
    <row r="6" spans="1:12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10" spans="1:12" x14ac:dyDescent="0.25">
      <c r="A10" t="s">
        <v>2</v>
      </c>
      <c r="C10" s="4" t="s">
        <v>21</v>
      </c>
    </row>
    <row r="11" spans="1:12" x14ac:dyDescent="0.25">
      <c r="C11" s="6"/>
    </row>
    <row r="12" spans="1:12" x14ac:dyDescent="0.25">
      <c r="A12" t="s">
        <v>20</v>
      </c>
      <c r="C12" s="4">
        <v>144</v>
      </c>
    </row>
    <row r="13" spans="1:12" x14ac:dyDescent="0.25">
      <c r="C13" s="6"/>
    </row>
    <row r="14" spans="1:12" x14ac:dyDescent="0.25">
      <c r="A14" t="s">
        <v>1</v>
      </c>
      <c r="C14" s="7">
        <v>42005</v>
      </c>
      <c r="D14" s="1">
        <f>YEAR(C14)</f>
        <v>2015</v>
      </c>
      <c r="E14" s="1">
        <f>MOD(D14,4)</f>
        <v>3</v>
      </c>
    </row>
    <row r="15" spans="1:12" x14ac:dyDescent="0.25">
      <c r="C15" s="6"/>
    </row>
    <row r="16" spans="1:12" x14ac:dyDescent="0.25">
      <c r="A16" t="s">
        <v>22</v>
      </c>
      <c r="C16" s="4" t="s">
        <v>23</v>
      </c>
    </row>
    <row r="17" spans="1:12" x14ac:dyDescent="0.25">
      <c r="C17" s="6"/>
    </row>
    <row r="18" spans="1:12" x14ac:dyDescent="0.25">
      <c r="A18" t="s">
        <v>18</v>
      </c>
      <c r="C18" s="3">
        <v>0.19</v>
      </c>
    </row>
    <row r="22" spans="1:12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3" x14ac:dyDescent="0.3">
      <c r="A23" s="53" t="s">
        <v>108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13" x14ac:dyDescent="0.3">
      <c r="A24" s="53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13" x14ac:dyDescent="0.3">
      <c r="A25" s="53" t="s">
        <v>50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ht="13" x14ac:dyDescent="0.3">
      <c r="A26" s="53" t="s">
        <v>111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9" spans="1:12" x14ac:dyDescent="0.25">
      <c r="D29" t="s">
        <v>109</v>
      </c>
      <c r="F29" s="6" t="s">
        <v>110</v>
      </c>
    </row>
    <row r="30" spans="1:12" ht="15.5" x14ac:dyDescent="0.35">
      <c r="D30" s="29">
        <f>D14-1</f>
        <v>2014</v>
      </c>
      <c r="F30" s="29">
        <f>D14</f>
        <v>2015</v>
      </c>
      <c r="H30" s="1" t="s">
        <v>178</v>
      </c>
    </row>
    <row r="31" spans="1:12" ht="15.5" x14ac:dyDescent="0.35">
      <c r="A31" s="9"/>
    </row>
    <row r="32" spans="1:12" x14ac:dyDescent="0.25">
      <c r="A32" t="s">
        <v>33</v>
      </c>
      <c r="D32" s="10">
        <v>28908</v>
      </c>
      <c r="F32" s="10">
        <v>30000</v>
      </c>
      <c r="H32" s="228">
        <f>(F32-D32)/D32</f>
        <v>3.7775010377750107E-2</v>
      </c>
    </row>
    <row r="33" spans="1:12" x14ac:dyDescent="0.25">
      <c r="A33" t="s">
        <v>25</v>
      </c>
      <c r="D33" s="10">
        <v>38255</v>
      </c>
      <c r="F33" s="10">
        <v>40000</v>
      </c>
      <c r="H33" s="228">
        <f>(F33-D33)/D33</f>
        <v>4.5614952293817804E-2</v>
      </c>
    </row>
    <row r="34" spans="1:12" ht="13" x14ac:dyDescent="0.3">
      <c r="A34" t="s">
        <v>32</v>
      </c>
      <c r="D34" s="26">
        <f>D33/D32</f>
        <v>1.3233361007333611</v>
      </c>
      <c r="F34" s="26">
        <f>F33/F32</f>
        <v>1.3333333333333333</v>
      </c>
    </row>
    <row r="35" spans="1:12" ht="13.5" customHeight="1" x14ac:dyDescent="0.25"/>
    <row r="36" spans="1:12" ht="13.5" customHeight="1" x14ac:dyDescent="0.25"/>
    <row r="37" spans="1:12" ht="13.5" customHeight="1" x14ac:dyDescent="0.25">
      <c r="A37" t="s">
        <v>56</v>
      </c>
      <c r="D37" s="10">
        <v>1778974</v>
      </c>
      <c r="F37" s="10">
        <v>1900000</v>
      </c>
      <c r="H37" s="228">
        <f>(F37-D37)/D37</f>
        <v>6.8031348406441011E-2</v>
      </c>
    </row>
    <row r="38" spans="1:12" ht="13.5" customHeight="1" x14ac:dyDescent="0.25"/>
    <row r="39" spans="1:12" ht="13.5" customHeight="1" x14ac:dyDescent="0.25">
      <c r="A39" t="s">
        <v>58</v>
      </c>
      <c r="D39" s="10">
        <v>1344764</v>
      </c>
      <c r="F39" s="10">
        <v>1450000</v>
      </c>
      <c r="H39" s="228">
        <f>(F39-D39)/D39</f>
        <v>7.8256110365833714E-2</v>
      </c>
    </row>
    <row r="40" spans="1:12" ht="13.5" customHeight="1" x14ac:dyDescent="0.25"/>
    <row r="41" spans="1:12" ht="13.5" customHeight="1" x14ac:dyDescent="0.25">
      <c r="A41" t="s">
        <v>199</v>
      </c>
      <c r="D41" s="11">
        <f>D37-D39</f>
        <v>434210</v>
      </c>
      <c r="F41" s="11">
        <f>F37-F39</f>
        <v>450000</v>
      </c>
      <c r="H41" s="228">
        <f>(F41-D41)/D41</f>
        <v>3.636489256350614E-2</v>
      </c>
    </row>
    <row r="42" spans="1:12" ht="13.5" customHeight="1" x14ac:dyDescent="0.25">
      <c r="D42" s="229"/>
      <c r="F42" s="229"/>
      <c r="H42" s="230"/>
    </row>
    <row r="43" spans="1:12" ht="13.5" customHeight="1" x14ac:dyDescent="0.3">
      <c r="A43" s="5" t="s">
        <v>181</v>
      </c>
      <c r="D43" s="229"/>
      <c r="F43" s="229"/>
      <c r="H43" s="230"/>
    </row>
    <row r="44" spans="1:12" ht="13.5" customHeight="1" x14ac:dyDescent="0.25">
      <c r="A44" t="s">
        <v>179</v>
      </c>
      <c r="D44" s="228">
        <f>D32/IF($E14=1,$C12*366,$C12*365)</f>
        <v>0.55000000000000004</v>
      </c>
      <c r="F44" s="228">
        <f>F32/IF($E14=1,$C12*366,$C12*365)</f>
        <v>0.57077625570776258</v>
      </c>
      <c r="H44" s="228">
        <f>(F44-D44)/D44</f>
        <v>3.7775010377750065E-2</v>
      </c>
    </row>
    <row r="45" spans="1:12" ht="13.5" customHeight="1" x14ac:dyDescent="0.25">
      <c r="A45" t="s">
        <v>180</v>
      </c>
      <c r="D45" s="231">
        <f>IF(D32=0,0,D37/D32)</f>
        <v>61.53915871039159</v>
      </c>
      <c r="F45" s="231">
        <f>IF(F32=0,0,F37/F32)</f>
        <v>63.333333333333336</v>
      </c>
      <c r="H45" s="228">
        <f>(F45-D45)/D45</f>
        <v>2.915500732444656E-2</v>
      </c>
    </row>
    <row r="46" spans="1:12" ht="13.5" customHeight="1" x14ac:dyDescent="0.25"/>
    <row r="47" spans="1:12" ht="13" x14ac:dyDescent="0.3">
      <c r="A47" s="5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12" ht="13" x14ac:dyDescent="0.3">
      <c r="A48" s="53" t="s">
        <v>51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1:12" ht="13" x14ac:dyDescent="0.3">
      <c r="A49" s="53" t="s">
        <v>52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1:12" ht="13" x14ac:dyDescent="0.3">
      <c r="A50" s="53" t="s">
        <v>53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13" x14ac:dyDescent="0.3">
      <c r="A51" s="5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12" ht="33" customHeight="1" x14ac:dyDescent="0.3">
      <c r="D52" s="5"/>
      <c r="F52" s="5"/>
    </row>
    <row r="53" spans="1:12" ht="33" customHeight="1" x14ac:dyDescent="0.3">
      <c r="D53" s="5"/>
      <c r="F53" s="5"/>
    </row>
    <row r="54" spans="1:12" ht="27" customHeight="1" x14ac:dyDescent="0.35">
      <c r="A54" t="s">
        <v>1</v>
      </c>
      <c r="C54" s="29">
        <f>D30</f>
        <v>2014</v>
      </c>
      <c r="D54" s="56" t="s">
        <v>26</v>
      </c>
      <c r="E54" s="313" t="s">
        <v>28</v>
      </c>
      <c r="F54" s="314"/>
      <c r="G54" s="315"/>
    </row>
    <row r="55" spans="1:12" ht="37.5" x14ac:dyDescent="0.25">
      <c r="D55" s="57" t="s">
        <v>44</v>
      </c>
      <c r="E55" s="59" t="s">
        <v>112</v>
      </c>
      <c r="F55" s="15" t="s">
        <v>91</v>
      </c>
      <c r="G55" s="15" t="s">
        <v>89</v>
      </c>
      <c r="H55" s="15" t="s">
        <v>161</v>
      </c>
      <c r="I55" s="15" t="s">
        <v>162</v>
      </c>
      <c r="J55" s="15" t="s">
        <v>98</v>
      </c>
    </row>
    <row r="56" spans="1:12" x14ac:dyDescent="0.25">
      <c r="A56" s="155" t="s">
        <v>99</v>
      </c>
      <c r="B56" s="156"/>
      <c r="C56" s="157"/>
      <c r="D56" s="58">
        <v>4.8499999999999996</v>
      </c>
      <c r="E56" s="60"/>
      <c r="F56" s="12"/>
      <c r="G56" s="13">
        <f>IF(D56&gt;0,D56,E56*F56/D$32)</f>
        <v>4.8499999999999996</v>
      </c>
      <c r="H56" s="13">
        <f>G56</f>
        <v>4.8499999999999996</v>
      </c>
      <c r="I56" s="13">
        <f>G56</f>
        <v>4.8499999999999996</v>
      </c>
      <c r="J56" s="120">
        <f>IF(E56&gt;0,E56*F56,D56*D$32)</f>
        <v>140203.79999999999</v>
      </c>
    </row>
    <row r="57" spans="1:12" x14ac:dyDescent="0.25">
      <c r="A57" s="155" t="s">
        <v>55</v>
      </c>
      <c r="B57" s="156"/>
      <c r="C57" s="157"/>
      <c r="D57" s="58"/>
      <c r="E57" s="60">
        <v>98500</v>
      </c>
      <c r="F57" s="12">
        <v>0.8</v>
      </c>
      <c r="G57" s="13">
        <f>IF(D57&gt;0,D57,E57*F57/D$32)</f>
        <v>2.7258890272588903</v>
      </c>
      <c r="H57" s="13">
        <f>G57/D$34</f>
        <v>2.0598614560188211</v>
      </c>
      <c r="I57" s="13">
        <f>H57*2</f>
        <v>4.1197229120376422</v>
      </c>
      <c r="J57" s="120">
        <f>IF(E57&gt;0,E57*F57,D57*D$32)</f>
        <v>78800</v>
      </c>
    </row>
    <row r="58" spans="1:12" x14ac:dyDescent="0.25">
      <c r="A58" s="155" t="s">
        <v>27</v>
      </c>
      <c r="B58" s="156"/>
      <c r="C58" s="157"/>
      <c r="D58" s="58"/>
      <c r="E58" s="60">
        <v>15000</v>
      </c>
      <c r="F58" s="12">
        <v>1</v>
      </c>
      <c r="G58" s="13">
        <f>IF(D58&gt;0,D58,E58*F58/D$32)</f>
        <v>0.51888750518887505</v>
      </c>
      <c r="H58" s="13">
        <f>G58/D$34</f>
        <v>0.39210560711018166</v>
      </c>
      <c r="I58" s="13">
        <f>H58*2</f>
        <v>0.78421121422036333</v>
      </c>
      <c r="J58" s="120">
        <f>IF(E58&gt;0,E58*F58,D58*D$32)</f>
        <v>15000</v>
      </c>
    </row>
    <row r="59" spans="1:12" x14ac:dyDescent="0.25">
      <c r="A59" s="155" t="s">
        <v>95</v>
      </c>
      <c r="B59" s="156"/>
      <c r="C59" s="157"/>
      <c r="D59" s="58"/>
      <c r="E59" s="60">
        <v>135000</v>
      </c>
      <c r="F59" s="12">
        <v>0.7</v>
      </c>
      <c r="G59" s="13">
        <f>IF(D59&gt;0,D59,E59*F59/D$32)</f>
        <v>3.268991282689913</v>
      </c>
      <c r="H59" s="13">
        <f>G59/D$34</f>
        <v>2.4702653247941444</v>
      </c>
      <c r="I59" s="13">
        <f>H59*2</f>
        <v>4.9405306495882888</v>
      </c>
      <c r="J59" s="120">
        <f>IF(E59&gt;0,E59*F59,D59*D$32)</f>
        <v>94500</v>
      </c>
    </row>
    <row r="60" spans="1:12" x14ac:dyDescent="0.25">
      <c r="A60" s="155" t="s">
        <v>101</v>
      </c>
      <c r="B60" s="156"/>
      <c r="C60" s="157"/>
      <c r="D60" s="58"/>
      <c r="E60" s="60">
        <v>98586</v>
      </c>
      <c r="F60" s="12">
        <v>1</v>
      </c>
      <c r="G60" s="13">
        <f>IF(D60&gt;0,D60,E60*F60/D$32)</f>
        <v>3.4103362391033625</v>
      </c>
      <c r="H60" s="13">
        <f>G60/D$34</f>
        <v>2.5770748921709581</v>
      </c>
      <c r="I60" s="13">
        <f>H60*2</f>
        <v>5.1541497843419162</v>
      </c>
      <c r="J60" s="120">
        <f>IF(E60&gt;0,E60*F60,D60*D$32)</f>
        <v>98586</v>
      </c>
    </row>
    <row r="61" spans="1:12" ht="13" x14ac:dyDescent="0.3">
      <c r="G61" s="14">
        <f>SUM(G56:G60)</f>
        <v>14.77410405424104</v>
      </c>
      <c r="H61" s="14">
        <f>SUM(H56:H60)</f>
        <v>12.349307280094106</v>
      </c>
      <c r="I61" s="14">
        <f>SUM(I56:I60)</f>
        <v>19.84861456018821</v>
      </c>
      <c r="J61" s="39">
        <f>SUM(J56:J60)</f>
        <v>427089.8</v>
      </c>
    </row>
    <row r="62" spans="1:12" ht="15.5" x14ac:dyDescent="0.35">
      <c r="G62" s="121" t="s">
        <v>100</v>
      </c>
      <c r="H62" s="121" t="s">
        <v>100</v>
      </c>
      <c r="I62" s="121" t="s">
        <v>100</v>
      </c>
    </row>
    <row r="63" spans="1:12" ht="15.5" x14ac:dyDescent="0.35">
      <c r="G63" s="232"/>
      <c r="H63" s="232"/>
      <c r="I63" s="232"/>
    </row>
    <row r="64" spans="1:12" ht="15.5" x14ac:dyDescent="0.35">
      <c r="A64" t="s">
        <v>182</v>
      </c>
      <c r="E64" s="29">
        <f>D14</f>
        <v>2015</v>
      </c>
      <c r="G64" s="232"/>
      <c r="H64" s="232"/>
      <c r="I64" s="232"/>
    </row>
    <row r="65" spans="1:12" ht="37.5" x14ac:dyDescent="0.25">
      <c r="G65" s="15" t="s">
        <v>89</v>
      </c>
      <c r="H65" s="15" t="s">
        <v>161</v>
      </c>
      <c r="I65" s="15" t="s">
        <v>162</v>
      </c>
      <c r="J65" s="15" t="s">
        <v>98</v>
      </c>
    </row>
    <row r="66" spans="1:12" x14ac:dyDescent="0.25">
      <c r="A66" s="155" t="str">
        <f>A56</f>
        <v>Kosten Zimmer-Reinigung</v>
      </c>
      <c r="B66" s="156"/>
      <c r="C66" s="157"/>
      <c r="D66" s="233">
        <v>0.03</v>
      </c>
      <c r="G66" s="13">
        <f t="shared" ref="G66:I70" si="0">G56*(1+$D66)</f>
        <v>4.9954999999999998</v>
      </c>
      <c r="H66" s="13">
        <f t="shared" si="0"/>
        <v>4.9954999999999998</v>
      </c>
      <c r="I66" s="13">
        <f t="shared" si="0"/>
        <v>4.9954999999999998</v>
      </c>
      <c r="J66" s="120">
        <f>J56*(1+D66)</f>
        <v>144409.91399999999</v>
      </c>
    </row>
    <row r="67" spans="1:12" x14ac:dyDescent="0.25">
      <c r="A67" s="155" t="str">
        <f>A57</f>
        <v>Kosten Wäscherei</v>
      </c>
      <c r="B67" s="156"/>
      <c r="C67" s="157"/>
      <c r="D67" s="233">
        <v>0.05</v>
      </c>
      <c r="G67" s="13">
        <f t="shared" si="0"/>
        <v>2.862183478621835</v>
      </c>
      <c r="H67" s="13">
        <f t="shared" si="0"/>
        <v>2.162854528819762</v>
      </c>
      <c r="I67" s="13">
        <f t="shared" si="0"/>
        <v>4.3257090576395241</v>
      </c>
      <c r="J67" s="120">
        <f>J57*(1+D67)</f>
        <v>82740</v>
      </c>
    </row>
    <row r="68" spans="1:12" x14ac:dyDescent="0.25">
      <c r="A68" s="155" t="str">
        <f>A58</f>
        <v>Kosten Wäsche-Ersatz</v>
      </c>
      <c r="B68" s="156"/>
      <c r="C68" s="157"/>
      <c r="D68" s="233">
        <v>0</v>
      </c>
      <c r="G68" s="13">
        <f t="shared" si="0"/>
        <v>0.51888750518887505</v>
      </c>
      <c r="H68" s="13">
        <f t="shared" si="0"/>
        <v>0.39210560711018166</v>
      </c>
      <c r="I68" s="13">
        <f t="shared" si="0"/>
        <v>0.78421121422036333</v>
      </c>
      <c r="J68" s="120">
        <f>J58*(1+D68)</f>
        <v>15000</v>
      </c>
    </row>
    <row r="69" spans="1:12" x14ac:dyDescent="0.25">
      <c r="A69" s="155" t="str">
        <f>A59</f>
        <v xml:space="preserve">Energie-Kosten </v>
      </c>
      <c r="B69" s="156"/>
      <c r="C69" s="157"/>
      <c r="D69" s="233">
        <v>0.1</v>
      </c>
      <c r="G69" s="13">
        <f t="shared" si="0"/>
        <v>3.5958904109589045</v>
      </c>
      <c r="H69" s="13">
        <f t="shared" si="0"/>
        <v>2.7172918572735592</v>
      </c>
      <c r="I69" s="13">
        <f t="shared" si="0"/>
        <v>5.4345837145471183</v>
      </c>
      <c r="J69" s="120">
        <f>J59*(1+D69)</f>
        <v>103950.00000000001</v>
      </c>
    </row>
    <row r="70" spans="1:12" x14ac:dyDescent="0.25">
      <c r="A70" s="155" t="str">
        <f>A60</f>
        <v>sonstige Kosten (Verbrauchsmaterial etc)</v>
      </c>
      <c r="B70" s="156"/>
      <c r="C70" s="157"/>
      <c r="D70" s="233">
        <v>0.03</v>
      </c>
      <c r="G70" s="13">
        <f t="shared" si="0"/>
        <v>3.5126463262764633</v>
      </c>
      <c r="H70" s="13">
        <f t="shared" si="0"/>
        <v>2.6543871389360869</v>
      </c>
      <c r="I70" s="13">
        <f t="shared" si="0"/>
        <v>5.3087742778721738</v>
      </c>
      <c r="J70" s="120">
        <f>J60*(1+D70)</f>
        <v>101543.58</v>
      </c>
    </row>
    <row r="71" spans="1:12" ht="13" x14ac:dyDescent="0.3">
      <c r="G71" s="14">
        <f>SUM(G66:G70)</f>
        <v>15.485107721046079</v>
      </c>
      <c r="H71" s="14">
        <f>SUM(H66:H70)</f>
        <v>12.922139132139591</v>
      </c>
      <c r="I71" s="14">
        <f>SUM(I66:I70)</f>
        <v>20.848778264279179</v>
      </c>
      <c r="J71" s="39">
        <f>SUM(J66:J70)</f>
        <v>447643.49400000001</v>
      </c>
    </row>
    <row r="72" spans="1:12" ht="15.5" x14ac:dyDescent="0.35">
      <c r="G72" s="121" t="s">
        <v>100</v>
      </c>
      <c r="H72" s="121" t="s">
        <v>100</v>
      </c>
      <c r="I72" s="121" t="s">
        <v>100</v>
      </c>
    </row>
    <row r="74" spans="1:12" ht="13" x14ac:dyDescent="0.3">
      <c r="A74" s="5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1:12" ht="13" x14ac:dyDescent="0.3">
      <c r="A75" s="53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ht="13" x14ac:dyDescent="0.3">
      <c r="A76" s="53" t="s">
        <v>73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12" ht="13" x14ac:dyDescent="0.3">
      <c r="A77" s="53" t="s">
        <v>76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12" ht="13" x14ac:dyDescent="0.3">
      <c r="A78" s="53" t="s">
        <v>75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2" ht="13" x14ac:dyDescent="0.3">
      <c r="A79" s="5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2" spans="1:7" ht="15.5" x14ac:dyDescent="0.35">
      <c r="A82" s="9" t="s">
        <v>3</v>
      </c>
      <c r="B82" s="5"/>
      <c r="C82" s="30">
        <f>D30</f>
        <v>2014</v>
      </c>
    </row>
    <row r="83" spans="1:7" ht="13" x14ac:dyDescent="0.3">
      <c r="A83" s="5"/>
      <c r="B83" s="5"/>
    </row>
    <row r="84" spans="1:7" ht="25" x14ac:dyDescent="0.25">
      <c r="C84" s="15" t="s">
        <v>30</v>
      </c>
      <c r="D84" s="15" t="s">
        <v>90</v>
      </c>
      <c r="E84" s="15" t="s">
        <v>93</v>
      </c>
      <c r="F84" s="15" t="s">
        <v>92</v>
      </c>
      <c r="G84" s="15" t="s">
        <v>94</v>
      </c>
    </row>
    <row r="85" spans="1:7" x14ac:dyDescent="0.25">
      <c r="A85">
        <v>1</v>
      </c>
      <c r="C85" s="2" t="s">
        <v>10</v>
      </c>
      <c r="D85" s="103">
        <f>E85/F85</f>
        <v>1</v>
      </c>
      <c r="E85" s="46">
        <v>1525</v>
      </c>
      <c r="F85" s="46">
        <v>1525</v>
      </c>
      <c r="G85" s="8">
        <v>95</v>
      </c>
    </row>
    <row r="86" spans="1:7" x14ac:dyDescent="0.25">
      <c r="A86">
        <v>2</v>
      </c>
      <c r="C86" s="2" t="s">
        <v>11</v>
      </c>
      <c r="D86" s="103">
        <f t="shared" ref="D86:D99" si="1">E86/F86</f>
        <v>1</v>
      </c>
      <c r="E86" s="46">
        <v>1500</v>
      </c>
      <c r="F86" s="46">
        <v>1500</v>
      </c>
      <c r="G86" s="8">
        <v>90</v>
      </c>
    </row>
    <row r="87" spans="1:7" x14ac:dyDescent="0.25">
      <c r="A87">
        <v>3</v>
      </c>
      <c r="C87" s="2" t="s">
        <v>12</v>
      </c>
      <c r="D87" s="103">
        <f t="shared" si="1"/>
        <v>1</v>
      </c>
      <c r="E87" s="46">
        <v>2800</v>
      </c>
      <c r="F87" s="46">
        <v>2800</v>
      </c>
      <c r="G87" s="8">
        <v>85</v>
      </c>
    </row>
    <row r="88" spans="1:7" x14ac:dyDescent="0.25">
      <c r="A88">
        <v>4</v>
      </c>
      <c r="C88" s="2" t="s">
        <v>13</v>
      </c>
      <c r="D88" s="103">
        <f t="shared" si="1"/>
        <v>1</v>
      </c>
      <c r="E88" s="46">
        <v>1500</v>
      </c>
      <c r="F88" s="46">
        <v>1500</v>
      </c>
      <c r="G88" s="8">
        <v>80</v>
      </c>
    </row>
    <row r="89" spans="1:7" x14ac:dyDescent="0.25">
      <c r="A89">
        <v>5</v>
      </c>
      <c r="C89" s="2" t="s">
        <v>14</v>
      </c>
      <c r="D89" s="103">
        <f t="shared" si="1"/>
        <v>1</v>
      </c>
      <c r="E89" s="46">
        <v>4400</v>
      </c>
      <c r="F89" s="46">
        <v>4400</v>
      </c>
      <c r="G89" s="8">
        <v>75</v>
      </c>
    </row>
    <row r="90" spans="1:7" x14ac:dyDescent="0.25">
      <c r="A90">
        <v>6</v>
      </c>
      <c r="C90" s="2" t="s">
        <v>15</v>
      </c>
      <c r="D90" s="103">
        <f t="shared" si="1"/>
        <v>1</v>
      </c>
      <c r="E90" s="46">
        <v>780</v>
      </c>
      <c r="F90" s="46">
        <v>780</v>
      </c>
      <c r="G90" s="8">
        <v>70</v>
      </c>
    </row>
    <row r="91" spans="1:7" x14ac:dyDescent="0.25">
      <c r="A91">
        <v>7</v>
      </c>
      <c r="C91" s="2" t="s">
        <v>16</v>
      </c>
      <c r="D91" s="103">
        <f t="shared" si="1"/>
        <v>1</v>
      </c>
      <c r="E91" s="46">
        <v>3050</v>
      </c>
      <c r="F91" s="46">
        <v>3050</v>
      </c>
      <c r="G91" s="8">
        <v>65</v>
      </c>
    </row>
    <row r="92" spans="1:7" x14ac:dyDescent="0.25">
      <c r="A92">
        <v>8</v>
      </c>
      <c r="C92" s="2" t="s">
        <v>17</v>
      </c>
      <c r="D92" s="103">
        <f t="shared" si="1"/>
        <v>1</v>
      </c>
      <c r="E92" s="46">
        <v>500</v>
      </c>
      <c r="F92" s="46">
        <v>500</v>
      </c>
      <c r="G92" s="8">
        <v>63</v>
      </c>
    </row>
    <row r="93" spans="1:7" x14ac:dyDescent="0.25">
      <c r="A93">
        <v>9</v>
      </c>
      <c r="C93" s="2" t="s">
        <v>19</v>
      </c>
      <c r="D93" s="103">
        <f t="shared" si="1"/>
        <v>1</v>
      </c>
      <c r="E93" s="46">
        <v>850</v>
      </c>
      <c r="F93" s="46">
        <v>850</v>
      </c>
      <c r="G93" s="8">
        <v>60</v>
      </c>
    </row>
    <row r="94" spans="1:7" x14ac:dyDescent="0.25">
      <c r="A94">
        <v>10</v>
      </c>
      <c r="C94" s="2" t="s">
        <v>4</v>
      </c>
      <c r="D94" s="103">
        <f t="shared" si="1"/>
        <v>1</v>
      </c>
      <c r="E94" s="46">
        <v>1300</v>
      </c>
      <c r="F94" s="46">
        <v>1300</v>
      </c>
      <c r="G94" s="8">
        <v>155</v>
      </c>
    </row>
    <row r="95" spans="1:7" x14ac:dyDescent="0.25">
      <c r="A95">
        <v>11</v>
      </c>
      <c r="C95" s="2" t="s">
        <v>5</v>
      </c>
      <c r="D95" s="103">
        <f t="shared" si="1"/>
        <v>1.625</v>
      </c>
      <c r="E95" s="46">
        <v>130</v>
      </c>
      <c r="F95" s="46">
        <v>80</v>
      </c>
      <c r="G95" s="8">
        <v>90</v>
      </c>
    </row>
    <row r="96" spans="1:7" x14ac:dyDescent="0.25">
      <c r="A96">
        <v>12</v>
      </c>
      <c r="C96" s="2" t="s">
        <v>6</v>
      </c>
      <c r="D96" s="103">
        <f t="shared" si="1"/>
        <v>2.0443925233644862</v>
      </c>
      <c r="E96" s="46">
        <v>17500</v>
      </c>
      <c r="F96" s="46">
        <v>8560</v>
      </c>
      <c r="G96" s="8">
        <v>10</v>
      </c>
    </row>
    <row r="97" spans="1:7" x14ac:dyDescent="0.25">
      <c r="A97">
        <v>13</v>
      </c>
      <c r="C97" s="2" t="s">
        <v>7</v>
      </c>
      <c r="D97" s="103">
        <f t="shared" si="1"/>
        <v>1.8481012658227849</v>
      </c>
      <c r="E97" s="46">
        <v>730</v>
      </c>
      <c r="F97" s="46">
        <v>395</v>
      </c>
      <c r="G97" s="8">
        <v>50</v>
      </c>
    </row>
    <row r="98" spans="1:7" x14ac:dyDescent="0.25">
      <c r="A98">
        <v>14</v>
      </c>
      <c r="C98" s="2" t="s">
        <v>8</v>
      </c>
      <c r="D98" s="103">
        <f t="shared" si="1"/>
        <v>0.96815286624203822</v>
      </c>
      <c r="E98" s="46">
        <v>1520</v>
      </c>
      <c r="F98" s="46">
        <v>1570</v>
      </c>
      <c r="G98" s="8">
        <v>75</v>
      </c>
    </row>
    <row r="99" spans="1:7" x14ac:dyDescent="0.25">
      <c r="A99">
        <v>15</v>
      </c>
      <c r="C99" s="2" t="s">
        <v>9</v>
      </c>
      <c r="D99" s="103">
        <f t="shared" si="1"/>
        <v>1.7346938775510203</v>
      </c>
      <c r="E99" s="46">
        <v>170</v>
      </c>
      <c r="F99" s="46">
        <v>98</v>
      </c>
      <c r="G99" s="8">
        <v>77</v>
      </c>
    </row>
    <row r="100" spans="1:7" ht="13" x14ac:dyDescent="0.3">
      <c r="E100" s="61">
        <f>SUM(E85:E99)</f>
        <v>38255</v>
      </c>
      <c r="F100" s="61">
        <f>SUM(F85:F99)</f>
        <v>28908</v>
      </c>
    </row>
    <row r="101" spans="1:7" ht="13" x14ac:dyDescent="0.3">
      <c r="E101" s="61" t="str">
        <f>IF(E100-D33=0,"ok","Fehler!")</f>
        <v>ok</v>
      </c>
      <c r="F101" s="61" t="str">
        <f>IF(F100-D32=0,"ok","Fehler!")</f>
        <v>ok</v>
      </c>
      <c r="G101" s="63" t="s">
        <v>54</v>
      </c>
    </row>
  </sheetData>
  <mergeCells count="1">
    <mergeCell ref="E54:G54"/>
  </mergeCells>
  <phoneticPr fontId="3" type="noConversion"/>
  <conditionalFormatting sqref="E101:F101">
    <cfRule type="cellIs" dxfId="16" priority="1" stopIfTrue="1" operator="equal">
      <formula>"ok"</formula>
    </cfRule>
    <cfRule type="cellIs" dxfId="15" priority="2" stopIfTrue="1" operator="equal">
      <formula>"Fehler!"</formula>
    </cfRule>
  </conditionalFormatting>
  <hyperlinks>
    <hyperlink ref="H1" location="Navigation!A1" display="=Navigation!$A$1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95" workbookViewId="0">
      <selection activeCell="H9" sqref="H9"/>
    </sheetView>
  </sheetViews>
  <sheetFormatPr baseColWidth="10" defaultColWidth="11.453125" defaultRowHeight="13" x14ac:dyDescent="0.3"/>
  <cols>
    <col min="1" max="1" width="2" style="5" customWidth="1"/>
    <col min="2" max="2" width="3.54296875" style="5" customWidth="1"/>
    <col min="3" max="3" width="22.1796875" style="5" customWidth="1"/>
    <col min="4" max="4" width="9.54296875" style="5" customWidth="1"/>
    <col min="5" max="5" width="14.7265625" style="5" customWidth="1"/>
    <col min="6" max="6" width="16" style="5" customWidth="1"/>
    <col min="7" max="7" width="15.7265625" style="5" customWidth="1"/>
    <col min="8" max="8" width="15.54296875" style="5" customWidth="1"/>
    <col min="9" max="9" width="10.453125" style="5" customWidth="1"/>
    <col min="10" max="10" width="3.81640625" style="5" customWidth="1"/>
    <col min="11" max="11" width="20.1796875" style="5" customWidth="1"/>
    <col min="12" max="12" width="10.7265625" style="5" customWidth="1"/>
    <col min="13" max="16384" width="11.453125" style="5"/>
  </cols>
  <sheetData>
    <row r="1" spans="2:12" ht="24" thickBot="1" x14ac:dyDescent="0.35">
      <c r="K1" s="212" t="str">
        <f>Navigation!$A$1</f>
        <v>Nights in white satin</v>
      </c>
      <c r="L1" s="207"/>
    </row>
    <row r="4" spans="2:12" ht="14" x14ac:dyDescent="0.3">
      <c r="G4" s="225" t="str">
        <f>DATA!A10</f>
        <v>Hotel:</v>
      </c>
      <c r="I4" s="226" t="str">
        <f>DATA!C10</f>
        <v>Villa Maris</v>
      </c>
    </row>
    <row r="5" spans="2:12" ht="6" customHeight="1" x14ac:dyDescent="0.3">
      <c r="G5" s="225"/>
      <c r="I5" s="227"/>
    </row>
    <row r="6" spans="2:12" ht="14" x14ac:dyDescent="0.3">
      <c r="G6" s="225" t="str">
        <f>DATA!A14</f>
        <v>Jahr:</v>
      </c>
      <c r="I6" s="226">
        <f>DATA!D30</f>
        <v>2014</v>
      </c>
    </row>
    <row r="7" spans="2:12" x14ac:dyDescent="0.3">
      <c r="E7" s="40" t="s">
        <v>86</v>
      </c>
      <c r="F7" s="64">
        <f>DATA!D39</f>
        <v>1344764</v>
      </c>
    </row>
    <row r="8" spans="2:12" s="31" customFormat="1" x14ac:dyDescent="0.3">
      <c r="B8" s="5"/>
      <c r="E8" s="68" t="s">
        <v>61</v>
      </c>
      <c r="F8" s="70"/>
    </row>
    <row r="9" spans="2:12" x14ac:dyDescent="0.3">
      <c r="E9" s="40" t="s">
        <v>39</v>
      </c>
      <c r="F9" s="41">
        <f>DATA!D32</f>
        <v>28908</v>
      </c>
    </row>
    <row r="10" spans="2:12" s="31" customFormat="1" x14ac:dyDescent="0.3">
      <c r="B10" s="5"/>
      <c r="E10" s="68" t="s">
        <v>62</v>
      </c>
      <c r="F10" s="69"/>
    </row>
    <row r="11" spans="2:12" x14ac:dyDescent="0.3">
      <c r="E11" s="40" t="s">
        <v>85</v>
      </c>
      <c r="F11" s="42">
        <f>F7/F9</f>
        <v>46.518749135187491</v>
      </c>
    </row>
    <row r="12" spans="2:12" x14ac:dyDescent="0.3">
      <c r="E12" s="40"/>
    </row>
    <row r="15" spans="2:12" ht="26.5" customHeight="1" x14ac:dyDescent="0.3">
      <c r="C15" s="40" t="s">
        <v>84</v>
      </c>
      <c r="F15" s="40" t="s">
        <v>65</v>
      </c>
    </row>
    <row r="16" spans="2:12" x14ac:dyDescent="0.3">
      <c r="C16" s="40" t="s">
        <v>40</v>
      </c>
      <c r="D16" s="43">
        <f>DATA!G61</f>
        <v>14.77410405424104</v>
      </c>
      <c r="F16" s="40" t="str">
        <f>C16</f>
        <v>variable Kosten</v>
      </c>
      <c r="G16" s="64">
        <f>D16*F$9</f>
        <v>427089.8</v>
      </c>
    </row>
    <row r="17" spans="1:11" x14ac:dyDescent="0.3">
      <c r="C17" s="49" t="s">
        <v>41</v>
      </c>
      <c r="D17" s="48">
        <f>F11-D16</f>
        <v>31.744645080946452</v>
      </c>
      <c r="F17" s="49" t="str">
        <f>C17</f>
        <v>fixe Kosten</v>
      </c>
      <c r="G17" s="79">
        <f>D17*F$9</f>
        <v>917674.20000000007</v>
      </c>
    </row>
    <row r="18" spans="1:11" x14ac:dyDescent="0.3">
      <c r="B18" s="40"/>
    </row>
    <row r="19" spans="1:11" s="96" customFormat="1" x14ac:dyDescent="0.3">
      <c r="C19" s="40" t="str">
        <f>E11</f>
        <v>Kosten pro Zimmer/Nacht</v>
      </c>
      <c r="D19" s="97">
        <f>SUM(D16:D18)</f>
        <v>46.518749135187491</v>
      </c>
      <c r="F19" s="40" t="str">
        <f>E7</f>
        <v>Summe Logiskosten</v>
      </c>
      <c r="G19" s="98">
        <f>SUM(G16:G18)</f>
        <v>1344764</v>
      </c>
    </row>
    <row r="20" spans="1:11" ht="23.5" customHeight="1" x14ac:dyDescent="0.3">
      <c r="D20" s="44"/>
    </row>
    <row r="21" spans="1:11" x14ac:dyDescent="0.3">
      <c r="D21" s="45"/>
    </row>
    <row r="22" spans="1:11" ht="17.5" x14ac:dyDescent="0.35">
      <c r="B22" s="150" t="s">
        <v>154</v>
      </c>
      <c r="C22" s="302"/>
      <c r="D22" s="303"/>
      <c r="E22" s="150"/>
      <c r="K22" s="267" t="s">
        <v>67</v>
      </c>
    </row>
    <row r="23" spans="1:11" ht="4.9000000000000004" customHeight="1" thickBot="1" x14ac:dyDescent="0.35"/>
    <row r="24" spans="1:11" s="71" customFormat="1" ht="16.149999999999999" customHeight="1" thickBot="1" x14ac:dyDescent="0.4">
      <c r="A24" s="100"/>
      <c r="B24" s="285" t="s">
        <v>63</v>
      </c>
      <c r="C24" s="286"/>
      <c r="D24" s="286"/>
      <c r="E24" s="286"/>
      <c r="F24" s="286"/>
      <c r="G24" s="286"/>
      <c r="H24" s="286"/>
      <c r="I24" s="286"/>
      <c r="K24" s="268" t="s">
        <v>68</v>
      </c>
    </row>
    <row r="25" spans="1:11" s="294" customFormat="1" ht="4.9000000000000004" customHeight="1" x14ac:dyDescent="0.35">
      <c r="A25" s="291"/>
      <c r="B25" s="292"/>
      <c r="C25" s="293"/>
      <c r="D25" s="293"/>
      <c r="E25" s="293"/>
      <c r="F25" s="293"/>
      <c r="G25" s="293"/>
      <c r="H25" s="293"/>
      <c r="I25" s="293"/>
      <c r="K25" s="295"/>
    </row>
    <row r="26" spans="1:11" s="72" customFormat="1" ht="16.149999999999999" customHeight="1" x14ac:dyDescent="0.35">
      <c r="A26" s="99"/>
      <c r="B26" s="304" t="s">
        <v>64</v>
      </c>
      <c r="C26" s="305"/>
      <c r="D26" s="305"/>
      <c r="E26" s="305"/>
      <c r="F26" s="305"/>
      <c r="G26" s="305"/>
      <c r="H26" s="305"/>
      <c r="I26" s="305"/>
    </row>
    <row r="27" spans="1:11" s="299" customFormat="1" ht="3.65" customHeight="1" x14ac:dyDescent="0.35">
      <c r="A27" s="296"/>
      <c r="B27" s="297"/>
      <c r="C27" s="298"/>
      <c r="D27" s="298"/>
      <c r="E27" s="298"/>
      <c r="F27" s="298"/>
      <c r="G27" s="298"/>
      <c r="H27" s="298"/>
      <c r="I27" s="298"/>
    </row>
    <row r="28" spans="1:11" s="73" customFormat="1" ht="16.149999999999999" customHeight="1" x14ac:dyDescent="0.35">
      <c r="A28" s="101"/>
      <c r="B28" s="287" t="s">
        <v>209</v>
      </c>
      <c r="C28" s="288"/>
      <c r="D28" s="288"/>
      <c r="E28" s="288"/>
      <c r="F28" s="288"/>
      <c r="G28" s="288"/>
      <c r="H28" s="288"/>
      <c r="I28" s="288"/>
    </row>
    <row r="29" spans="1:11" s="301" customFormat="1" ht="4.9000000000000004" customHeight="1" x14ac:dyDescent="0.35">
      <c r="A29" s="300"/>
      <c r="B29" s="292"/>
      <c r="C29" s="293"/>
      <c r="D29" s="293"/>
      <c r="E29" s="293"/>
      <c r="F29" s="293"/>
      <c r="G29" s="293"/>
      <c r="H29" s="293"/>
      <c r="I29" s="293"/>
    </row>
    <row r="30" spans="1:11" s="74" customFormat="1" ht="16.149999999999999" customHeight="1" x14ac:dyDescent="0.35">
      <c r="A30" s="102"/>
      <c r="B30" s="289" t="s">
        <v>66</v>
      </c>
      <c r="C30" s="290"/>
      <c r="D30" s="290"/>
      <c r="E30" s="290"/>
      <c r="F30" s="290"/>
      <c r="G30" s="290"/>
      <c r="H30" s="290"/>
      <c r="I30" s="290"/>
    </row>
  </sheetData>
  <phoneticPr fontId="3" type="noConversion"/>
  <hyperlinks>
    <hyperlink ref="K24" location="PC2!A1" display="hier klicken!"/>
    <hyperlink ref="K1" location="Navigation!A1" display="=Navigation!$A$1"/>
  </hyperlinks>
  <pageMargins left="0.78740157480314965" right="0" top="0.59055118110236227" bottom="0" header="0.51181102362204722" footer="0.51181102362204722"/>
  <pageSetup paperSize="9" scale="12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5" workbookViewId="0">
      <selection activeCell="I16" sqref="I16"/>
    </sheetView>
  </sheetViews>
  <sheetFormatPr baseColWidth="10" defaultColWidth="11.453125" defaultRowHeight="13" x14ac:dyDescent="0.3"/>
  <cols>
    <col min="1" max="1" width="6.7265625" style="5" customWidth="1"/>
    <col min="2" max="2" width="4.26953125" style="5" customWidth="1"/>
    <col min="3" max="3" width="11.26953125" style="5" customWidth="1"/>
    <col min="4" max="4" width="12.1796875" style="5" customWidth="1"/>
    <col min="5" max="6" width="14.1796875" style="5" customWidth="1"/>
    <col min="7" max="7" width="9.54296875" style="5" customWidth="1"/>
    <col min="8" max="8" width="17.26953125" style="5" customWidth="1"/>
    <col min="9" max="9" width="24.26953125" style="5" customWidth="1"/>
    <col min="10" max="10" width="5.54296875" style="5" customWidth="1"/>
    <col min="11" max="11" width="16.7265625" style="5" customWidth="1"/>
    <col min="12" max="12" width="13.453125" style="5" customWidth="1"/>
    <col min="13" max="16384" width="11.453125" style="5"/>
  </cols>
  <sheetData>
    <row r="1" spans="1:12" ht="24" thickBot="1" x14ac:dyDescent="0.35">
      <c r="K1" s="212" t="str">
        <f>Navigation!$A$1</f>
        <v>Nights in white satin</v>
      </c>
      <c r="L1" s="207"/>
    </row>
    <row r="4" spans="1:12" ht="4.5" customHeight="1" x14ac:dyDescent="0.3"/>
    <row r="5" spans="1:12" x14ac:dyDescent="0.3">
      <c r="A5" s="89" t="s">
        <v>77</v>
      </c>
      <c r="B5" s="89"/>
      <c r="C5" s="89"/>
      <c r="D5" s="89"/>
      <c r="E5" s="94" t="s">
        <v>78</v>
      </c>
      <c r="F5" s="90">
        <v>8.9499999999999993</v>
      </c>
      <c r="G5" s="89"/>
      <c r="H5" s="89"/>
      <c r="I5" s="89"/>
    </row>
    <row r="6" spans="1:12" x14ac:dyDescent="0.3">
      <c r="A6" s="89"/>
      <c r="B6" s="89"/>
      <c r="C6" s="89"/>
      <c r="D6" s="91"/>
      <c r="E6" s="92" t="s">
        <v>79</v>
      </c>
      <c r="F6" s="93">
        <f>E29/F22</f>
        <v>34.684191310697337</v>
      </c>
      <c r="G6" s="89"/>
      <c r="H6" s="89"/>
      <c r="I6" s="89"/>
    </row>
    <row r="7" spans="1:12" x14ac:dyDescent="0.3">
      <c r="A7" s="89"/>
      <c r="B7" s="89"/>
      <c r="C7" s="89"/>
      <c r="D7" s="89"/>
      <c r="E7" s="94" t="s">
        <v>80</v>
      </c>
      <c r="F7" s="95">
        <f>SUM(F5:F6)</f>
        <v>43.634191310697332</v>
      </c>
      <c r="G7" s="89"/>
      <c r="H7" s="89"/>
      <c r="I7" s="89"/>
    </row>
    <row r="8" spans="1:12" ht="4.1500000000000004" customHeight="1" x14ac:dyDescent="0.3">
      <c r="A8" s="89"/>
      <c r="B8" s="89"/>
      <c r="C8" s="89"/>
      <c r="D8" s="89"/>
      <c r="E8" s="94"/>
      <c r="F8" s="95"/>
      <c r="G8" s="89"/>
      <c r="H8" s="89"/>
      <c r="I8" s="89"/>
    </row>
    <row r="9" spans="1:12" ht="13.5" thickBot="1" x14ac:dyDescent="0.35">
      <c r="A9" s="89" t="s">
        <v>205</v>
      </c>
      <c r="B9" s="89"/>
      <c r="C9" s="89"/>
      <c r="D9" s="89"/>
      <c r="E9" s="94"/>
      <c r="F9" s="95"/>
      <c r="G9" s="89"/>
      <c r="H9" s="89"/>
      <c r="I9" s="89"/>
      <c r="K9" s="5" t="s">
        <v>81</v>
      </c>
    </row>
    <row r="10" spans="1:12" ht="16" thickBot="1" x14ac:dyDescent="0.4">
      <c r="A10" s="89" t="s">
        <v>206</v>
      </c>
      <c r="B10" s="89"/>
      <c r="C10" s="89"/>
      <c r="D10" s="89"/>
      <c r="E10" s="94"/>
      <c r="F10" s="95"/>
      <c r="G10" s="89"/>
      <c r="H10" s="89"/>
      <c r="I10" s="89"/>
      <c r="K10" s="268" t="s">
        <v>68</v>
      </c>
      <c r="L10" s="71"/>
    </row>
    <row r="12" spans="1:12" x14ac:dyDescent="0.3">
      <c r="C12" s="62"/>
      <c r="D12" s="66" t="s">
        <v>34</v>
      </c>
      <c r="E12" s="67"/>
    </row>
    <row r="13" spans="1:12" ht="26" x14ac:dyDescent="0.3">
      <c r="C13" s="47" t="s">
        <v>42</v>
      </c>
      <c r="D13" s="47" t="s">
        <v>40</v>
      </c>
      <c r="E13" s="47" t="s">
        <v>59</v>
      </c>
      <c r="F13" s="47" t="s">
        <v>39</v>
      </c>
      <c r="H13" s="47" t="s">
        <v>72</v>
      </c>
    </row>
    <row r="14" spans="1:12" ht="4.1500000000000004" customHeight="1" x14ac:dyDescent="0.3">
      <c r="C14" s="75"/>
      <c r="D14" s="75"/>
      <c r="E14" s="75"/>
      <c r="F14" s="75"/>
      <c r="H14" s="75"/>
    </row>
    <row r="15" spans="1:12" x14ac:dyDescent="0.3">
      <c r="C15" s="272">
        <v>35</v>
      </c>
      <c r="D15" s="76">
        <f>-F5</f>
        <v>-8.9499999999999993</v>
      </c>
      <c r="E15" s="76">
        <f t="shared" ref="E15:E20" si="0">IF(C15=0,0,C15+D15)</f>
        <v>26.05</v>
      </c>
      <c r="F15" s="88">
        <v>12000</v>
      </c>
      <c r="H15" s="39">
        <f t="shared" ref="H15:H20" si="1">E15*F15</f>
        <v>312600</v>
      </c>
    </row>
    <row r="16" spans="1:12" x14ac:dyDescent="0.3">
      <c r="C16" s="272">
        <v>42</v>
      </c>
      <c r="D16" s="76">
        <f>D15</f>
        <v>-8.9499999999999993</v>
      </c>
      <c r="E16" s="76">
        <f t="shared" si="0"/>
        <v>33.049999999999997</v>
      </c>
      <c r="F16" s="88">
        <v>5800</v>
      </c>
      <c r="H16" s="39">
        <f t="shared" si="1"/>
        <v>191689.99999999997</v>
      </c>
    </row>
    <row r="17" spans="2:9" x14ac:dyDescent="0.3">
      <c r="C17" s="87">
        <v>57</v>
      </c>
      <c r="D17" s="76">
        <f>D16</f>
        <v>-8.9499999999999993</v>
      </c>
      <c r="E17" s="76">
        <f t="shared" si="0"/>
        <v>48.05</v>
      </c>
      <c r="F17" s="88">
        <v>2200</v>
      </c>
      <c r="H17" s="39">
        <f t="shared" si="1"/>
        <v>105710</v>
      </c>
    </row>
    <row r="18" spans="2:9" x14ac:dyDescent="0.3">
      <c r="C18" s="87">
        <v>65</v>
      </c>
      <c r="D18" s="76">
        <f>D17</f>
        <v>-8.9499999999999993</v>
      </c>
      <c r="E18" s="76">
        <f t="shared" si="0"/>
        <v>56.05</v>
      </c>
      <c r="F18" s="88">
        <v>4300</v>
      </c>
      <c r="H18" s="39">
        <f t="shared" si="1"/>
        <v>241015</v>
      </c>
    </row>
    <row r="19" spans="2:9" x14ac:dyDescent="0.3">
      <c r="C19" s="87">
        <v>75</v>
      </c>
      <c r="D19" s="76">
        <f>D18</f>
        <v>-8.9499999999999993</v>
      </c>
      <c r="E19" s="76">
        <f t="shared" si="0"/>
        <v>66.05</v>
      </c>
      <c r="F19" s="88">
        <v>1800</v>
      </c>
      <c r="H19" s="39">
        <f t="shared" si="1"/>
        <v>118890</v>
      </c>
    </row>
    <row r="20" spans="2:9" x14ac:dyDescent="0.3">
      <c r="C20" s="87">
        <v>85</v>
      </c>
      <c r="D20" s="76">
        <f>D19</f>
        <v>-8.9499999999999993</v>
      </c>
      <c r="E20" s="76">
        <f t="shared" si="0"/>
        <v>76.05</v>
      </c>
      <c r="F20" s="88">
        <v>1290</v>
      </c>
      <c r="H20" s="39">
        <f t="shared" si="1"/>
        <v>98104.5</v>
      </c>
    </row>
    <row r="21" spans="2:9" ht="6" customHeight="1" x14ac:dyDescent="0.3"/>
    <row r="22" spans="2:9" x14ac:dyDescent="0.3">
      <c r="C22" s="77">
        <f>IF(F22=0,0,(C15*F15+C16*F16+C17*F17+C18*F18+C19*F19+C20*F20)/F22)</f>
        <v>47.942679810149691</v>
      </c>
      <c r="D22" s="76">
        <f>D20</f>
        <v>-8.9499999999999993</v>
      </c>
      <c r="E22" s="77">
        <f>C22+D22</f>
        <v>38.992679810149696</v>
      </c>
      <c r="F22" s="78">
        <f>SUM(F15:F20)</f>
        <v>27390</v>
      </c>
      <c r="H22" s="39">
        <f>SUM(H15:H20)</f>
        <v>1068009.5</v>
      </c>
    </row>
    <row r="24" spans="2:9" ht="6.65" customHeight="1" x14ac:dyDescent="0.3"/>
    <row r="26" spans="2:9" ht="15.5" x14ac:dyDescent="0.35">
      <c r="E26" s="65">
        <f>H22</f>
        <v>1068009.5</v>
      </c>
      <c r="I26" s="81" t="s">
        <v>57</v>
      </c>
    </row>
    <row r="27" spans="2:9" ht="23.5" customHeight="1" x14ac:dyDescent="0.3">
      <c r="C27" s="318" t="str">
        <f>IF(C25&gt;0,"variable Kosten sind gedeckt!","")</f>
        <v/>
      </c>
      <c r="D27" s="318"/>
      <c r="G27" s="44"/>
      <c r="I27" s="82" t="s">
        <v>60</v>
      </c>
    </row>
    <row r="28" spans="2:9" ht="15.5" x14ac:dyDescent="0.35">
      <c r="C28" s="45"/>
      <c r="D28" s="45"/>
      <c r="E28" s="55" t="s">
        <v>49</v>
      </c>
      <c r="G28" s="45"/>
      <c r="I28" s="82" t="s">
        <v>69</v>
      </c>
    </row>
    <row r="29" spans="2:9" ht="22.5" customHeight="1" x14ac:dyDescent="0.35">
      <c r="B29" s="50"/>
      <c r="C29" s="316"/>
      <c r="D29" s="317"/>
      <c r="E29" s="65">
        <v>950000</v>
      </c>
      <c r="F29" s="54"/>
      <c r="G29" s="51"/>
      <c r="H29" s="50"/>
      <c r="I29" s="82"/>
    </row>
    <row r="30" spans="2:9" ht="21" customHeight="1" x14ac:dyDescent="0.4">
      <c r="I30" s="83">
        <f>H22-E29</f>
        <v>118009.5</v>
      </c>
    </row>
    <row r="31" spans="2:9" ht="20.25" customHeight="1" x14ac:dyDescent="0.3"/>
  </sheetData>
  <mergeCells count="2">
    <mergeCell ref="C29:D29"/>
    <mergeCell ref="C27:D27"/>
  </mergeCells>
  <phoneticPr fontId="3" type="noConversion"/>
  <conditionalFormatting sqref="I26:I30">
    <cfRule type="expression" priority="1" stopIfTrue="1">
      <formula>I$30=0</formula>
    </cfRule>
    <cfRule type="expression" dxfId="14" priority="2" stopIfTrue="1">
      <formula>I$30&gt;0</formula>
    </cfRule>
    <cfRule type="expression" dxfId="13" priority="3" stopIfTrue="1">
      <formula>I$30&lt;0</formula>
    </cfRule>
  </conditionalFormatting>
  <hyperlinks>
    <hyperlink ref="K10" location="PC3!A1" display="hier klicken!"/>
    <hyperlink ref="K1" location="Navigation!A1" display="=Navigation!$A$1"/>
  </hyperlinks>
  <pageMargins left="0.78740157480314965" right="0" top="0.78740157480314965" bottom="0" header="0.51181102362204722" footer="0.51181102362204722"/>
  <pageSetup paperSize="9"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5" workbookViewId="0">
      <selection activeCell="I13" sqref="I13"/>
    </sheetView>
  </sheetViews>
  <sheetFormatPr baseColWidth="10" defaultColWidth="11.453125" defaultRowHeight="13" x14ac:dyDescent="0.3"/>
  <cols>
    <col min="1" max="1" width="6.7265625" style="5" customWidth="1"/>
    <col min="2" max="2" width="0.7265625" style="5" customWidth="1"/>
    <col min="3" max="3" width="12" style="5" customWidth="1"/>
    <col min="4" max="4" width="14.453125" style="5" customWidth="1"/>
    <col min="5" max="5" width="12.81640625" style="5" customWidth="1"/>
    <col min="6" max="6" width="14.1796875" style="5" customWidth="1"/>
    <col min="7" max="7" width="9.54296875" style="5" customWidth="1"/>
    <col min="8" max="8" width="17.26953125" style="5" customWidth="1"/>
    <col min="9" max="9" width="24.26953125" style="5" customWidth="1"/>
    <col min="10" max="10" width="5.81640625" style="5" customWidth="1"/>
    <col min="11" max="11" width="22.54296875" style="5" customWidth="1"/>
    <col min="12" max="12" width="7.453125" style="5" customWidth="1"/>
    <col min="13" max="16384" width="11.453125" style="5"/>
  </cols>
  <sheetData>
    <row r="1" spans="1:12" ht="24" thickBot="1" x14ac:dyDescent="0.35">
      <c r="K1" s="212" t="str">
        <f>Navigation!$A$1</f>
        <v>Nights in white satin</v>
      </c>
      <c r="L1" s="207"/>
    </row>
    <row r="4" spans="1:12" ht="4.5" customHeight="1" x14ac:dyDescent="0.3"/>
    <row r="5" spans="1:12" x14ac:dyDescent="0.3">
      <c r="A5" s="275" t="s">
        <v>77</v>
      </c>
      <c r="B5" s="275"/>
      <c r="C5" s="275"/>
      <c r="D5" s="275"/>
      <c r="E5" s="276" t="s">
        <v>78</v>
      </c>
      <c r="F5" s="277">
        <v>8.9499999999999993</v>
      </c>
      <c r="G5" s="275"/>
      <c r="H5" s="275"/>
      <c r="I5" s="275"/>
    </row>
    <row r="6" spans="1:12" x14ac:dyDescent="0.3">
      <c r="A6" s="275"/>
      <c r="B6" s="275"/>
      <c r="C6" s="275"/>
      <c r="D6" s="282"/>
      <c r="E6" s="283" t="s">
        <v>79</v>
      </c>
      <c r="F6" s="284">
        <f>E29/F22</f>
        <v>99.061522419186659</v>
      </c>
      <c r="G6" s="275"/>
      <c r="H6" s="275"/>
      <c r="I6" s="275"/>
    </row>
    <row r="7" spans="1:12" x14ac:dyDescent="0.3">
      <c r="A7" s="275"/>
      <c r="B7" s="275"/>
      <c r="C7" s="275"/>
      <c r="D7" s="275"/>
      <c r="E7" s="276" t="s">
        <v>80</v>
      </c>
      <c r="F7" s="278">
        <f>SUM(F5:F6)</f>
        <v>108.01152241918666</v>
      </c>
      <c r="G7" s="275"/>
      <c r="H7" s="275"/>
      <c r="I7" s="275"/>
    </row>
    <row r="8" spans="1:12" ht="4.1500000000000004" customHeight="1" x14ac:dyDescent="0.3">
      <c r="A8" s="275"/>
      <c r="B8" s="275"/>
      <c r="C8" s="275"/>
      <c r="D8" s="275"/>
      <c r="E8" s="276"/>
      <c r="F8" s="278"/>
      <c r="G8" s="275"/>
      <c r="H8" s="275"/>
      <c r="I8" s="275"/>
    </row>
    <row r="9" spans="1:12" x14ac:dyDescent="0.3">
      <c r="A9" s="275" t="s">
        <v>82</v>
      </c>
      <c r="B9" s="275"/>
      <c r="C9" s="275"/>
      <c r="D9" s="275"/>
      <c r="E9" s="276"/>
      <c r="F9" s="278"/>
      <c r="G9" s="275"/>
      <c r="H9" s="275"/>
      <c r="I9" s="275"/>
    </row>
    <row r="10" spans="1:12" x14ac:dyDescent="0.3">
      <c r="A10" s="275" t="s">
        <v>83</v>
      </c>
      <c r="B10" s="275"/>
      <c r="C10" s="275"/>
      <c r="D10" s="275"/>
      <c r="E10" s="276"/>
      <c r="F10" s="278"/>
      <c r="G10" s="275"/>
      <c r="H10" s="275"/>
      <c r="I10" s="275"/>
    </row>
    <row r="12" spans="1:12" x14ac:dyDescent="0.3">
      <c r="C12" s="62"/>
      <c r="D12" s="66" t="s">
        <v>34</v>
      </c>
      <c r="E12" s="67"/>
    </row>
    <row r="13" spans="1:12" ht="26" x14ac:dyDescent="0.3">
      <c r="C13" s="47" t="s">
        <v>42</v>
      </c>
      <c r="D13" s="47" t="s">
        <v>40</v>
      </c>
      <c r="E13" s="47" t="s">
        <v>59</v>
      </c>
      <c r="F13" s="47" t="s">
        <v>39</v>
      </c>
      <c r="H13" s="47" t="s">
        <v>72</v>
      </c>
      <c r="K13" s="211" t="s">
        <v>87</v>
      </c>
    </row>
    <row r="14" spans="1:12" ht="4.1500000000000004" customHeight="1" x14ac:dyDescent="0.3">
      <c r="C14" s="75"/>
      <c r="D14" s="75"/>
      <c r="E14" s="75"/>
      <c r="F14" s="75"/>
      <c r="H14" s="75"/>
    </row>
    <row r="15" spans="1:12" ht="13.5" thickBot="1" x14ac:dyDescent="0.35">
      <c r="C15" s="271"/>
      <c r="D15" s="279"/>
      <c r="E15" s="279"/>
      <c r="F15" s="280"/>
      <c r="H15" s="281">
        <f t="shared" ref="H15:H20" si="0">E15*F15</f>
        <v>0</v>
      </c>
      <c r="K15" s="40" t="s">
        <v>88</v>
      </c>
    </row>
    <row r="16" spans="1:12" ht="16" thickBot="1" x14ac:dyDescent="0.4">
      <c r="C16" s="271"/>
      <c r="D16" s="279"/>
      <c r="E16" s="279"/>
      <c r="F16" s="280"/>
      <c r="H16" s="281">
        <f t="shared" si="0"/>
        <v>0</v>
      </c>
      <c r="K16" s="269" t="s">
        <v>68</v>
      </c>
    </row>
    <row r="17" spans="2:9" x14ac:dyDescent="0.3">
      <c r="C17" s="87">
        <v>57</v>
      </c>
      <c r="D17" s="76">
        <f>-F5</f>
        <v>-8.9499999999999993</v>
      </c>
      <c r="E17" s="76">
        <f>IF(C17=0,0,C17+D17)</f>
        <v>48.05</v>
      </c>
      <c r="F17" s="88">
        <v>2200</v>
      </c>
      <c r="H17" s="39">
        <f t="shared" si="0"/>
        <v>105710</v>
      </c>
    </row>
    <row r="18" spans="2:9" x14ac:dyDescent="0.3">
      <c r="C18" s="87">
        <v>65</v>
      </c>
      <c r="D18" s="76">
        <f>D17</f>
        <v>-8.9499999999999993</v>
      </c>
      <c r="E18" s="76">
        <f>IF(C18=0,0,C18+D18)</f>
        <v>56.05</v>
      </c>
      <c r="F18" s="88">
        <v>4300</v>
      </c>
      <c r="H18" s="39">
        <f t="shared" si="0"/>
        <v>241015</v>
      </c>
    </row>
    <row r="19" spans="2:9" x14ac:dyDescent="0.3">
      <c r="C19" s="87">
        <v>75</v>
      </c>
      <c r="D19" s="76">
        <f>D18</f>
        <v>-8.9499999999999993</v>
      </c>
      <c r="E19" s="76">
        <f>IF(C19=0,0,C19+D19)</f>
        <v>66.05</v>
      </c>
      <c r="F19" s="88">
        <v>1800</v>
      </c>
      <c r="H19" s="39">
        <f t="shared" si="0"/>
        <v>118890</v>
      </c>
    </row>
    <row r="20" spans="2:9" x14ac:dyDescent="0.3">
      <c r="C20" s="87">
        <v>85</v>
      </c>
      <c r="D20" s="76">
        <f>D19</f>
        <v>-8.9499999999999993</v>
      </c>
      <c r="E20" s="76">
        <f>IF(C20=0,0,C20+D20)</f>
        <v>76.05</v>
      </c>
      <c r="F20" s="88">
        <v>1290</v>
      </c>
      <c r="H20" s="39">
        <f t="shared" si="0"/>
        <v>98104.5</v>
      </c>
    </row>
    <row r="21" spans="2:9" ht="6" customHeight="1" x14ac:dyDescent="0.3"/>
    <row r="22" spans="2:9" x14ac:dyDescent="0.3">
      <c r="C22" s="77">
        <f>IF(F22=0,0,(C15*F15+C16*F16+C17*F17+C18*F18+C19*F19+C20*F20)/F22)</f>
        <v>67.732012513034405</v>
      </c>
      <c r="D22" s="76">
        <f>D20</f>
        <v>-8.9499999999999993</v>
      </c>
      <c r="E22" s="77">
        <f>C22+D22</f>
        <v>58.782012513034402</v>
      </c>
      <c r="F22" s="78">
        <f>SUM(F15:F20)</f>
        <v>9590</v>
      </c>
      <c r="H22" s="39">
        <f>SUM(H15:H20)</f>
        <v>563719.5</v>
      </c>
    </row>
    <row r="24" spans="2:9" ht="6.65" customHeight="1" x14ac:dyDescent="0.3"/>
    <row r="26" spans="2:9" ht="15.5" x14ac:dyDescent="0.35">
      <c r="E26" s="65">
        <f>H22</f>
        <v>563719.5</v>
      </c>
      <c r="I26" s="81" t="s">
        <v>57</v>
      </c>
    </row>
    <row r="27" spans="2:9" ht="23.5" customHeight="1" x14ac:dyDescent="0.3">
      <c r="C27" s="318" t="str">
        <f>IF(C25&gt;0,"variable Kosten sind gedeckt!","")</f>
        <v/>
      </c>
      <c r="D27" s="318"/>
      <c r="G27" s="44"/>
      <c r="I27" s="82" t="s">
        <v>60</v>
      </c>
    </row>
    <row r="28" spans="2:9" ht="15.5" x14ac:dyDescent="0.35">
      <c r="C28" s="45"/>
      <c r="D28" s="45"/>
      <c r="E28" s="55" t="s">
        <v>49</v>
      </c>
      <c r="G28" s="45"/>
      <c r="I28" s="82" t="s">
        <v>69</v>
      </c>
    </row>
    <row r="29" spans="2:9" ht="22.5" customHeight="1" x14ac:dyDescent="0.35">
      <c r="B29" s="50"/>
      <c r="C29" s="316"/>
      <c r="D29" s="317"/>
      <c r="E29" s="65">
        <v>950000</v>
      </c>
      <c r="F29" s="54"/>
      <c r="G29" s="51"/>
      <c r="H29" s="50"/>
      <c r="I29" s="82"/>
    </row>
    <row r="30" spans="2:9" ht="21" customHeight="1" x14ac:dyDescent="0.4">
      <c r="I30" s="83">
        <f>H22-E29</f>
        <v>-386280.5</v>
      </c>
    </row>
    <row r="31" spans="2:9" ht="20.25" customHeight="1" x14ac:dyDescent="0.3"/>
  </sheetData>
  <mergeCells count="2">
    <mergeCell ref="C29:D29"/>
    <mergeCell ref="C27:D27"/>
  </mergeCells>
  <phoneticPr fontId="3" type="noConversion"/>
  <conditionalFormatting sqref="I26:I30">
    <cfRule type="expression" priority="1" stopIfTrue="1">
      <formula>I$30=0</formula>
    </cfRule>
    <cfRule type="expression" dxfId="12" priority="2" stopIfTrue="1">
      <formula>I$30&gt;0</formula>
    </cfRule>
    <cfRule type="expression" dxfId="11" priority="3" stopIfTrue="1">
      <formula>I$30&lt;0</formula>
    </cfRule>
  </conditionalFormatting>
  <hyperlinks>
    <hyperlink ref="K16" location="PC4!A1" display="hier klicken!"/>
    <hyperlink ref="K1" location="Navigation!A1" display="=Navigation!$A$1"/>
  </hyperlinks>
  <pageMargins left="0.78740157480314965" right="0" top="0.78740157480314965" bottom="0" header="0.51181102362204722" footer="0.51181102362204722"/>
  <pageSetup paperSize="9" scale="11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showGridLines="0" zoomScale="95" workbookViewId="0">
      <selection activeCell="C5" sqref="C5"/>
    </sheetView>
  </sheetViews>
  <sheetFormatPr baseColWidth="10" defaultColWidth="11.453125" defaultRowHeight="13" x14ac:dyDescent="0.3"/>
  <cols>
    <col min="1" max="1" width="1" style="5" customWidth="1"/>
    <col min="2" max="2" width="4.26953125" style="5" customWidth="1"/>
    <col min="3" max="3" width="9.453125" style="5" customWidth="1"/>
    <col min="4" max="4" width="9.7265625" style="5" customWidth="1"/>
    <col min="5" max="5" width="12" style="5" customWidth="1"/>
    <col min="6" max="6" width="14.1796875" style="5" customWidth="1"/>
    <col min="7" max="7" width="12.26953125" style="5" customWidth="1"/>
    <col min="8" max="8" width="10.453125" style="5" customWidth="1"/>
    <col min="9" max="9" width="13.26953125" style="5" customWidth="1"/>
    <col min="10" max="10" width="27.26953125" style="5" customWidth="1"/>
    <col min="11" max="11" width="2.7265625" style="5" customWidth="1"/>
    <col min="12" max="12" width="18.26953125" style="5" customWidth="1"/>
    <col min="13" max="13" width="12.453125" style="5" customWidth="1"/>
    <col min="14" max="16384" width="11.453125" style="5"/>
  </cols>
  <sheetData>
    <row r="1" spans="2:13" ht="24" thickBot="1" x14ac:dyDescent="0.4">
      <c r="B1" s="220" t="s">
        <v>207</v>
      </c>
      <c r="C1" s="213"/>
      <c r="D1" s="213"/>
      <c r="E1" s="213"/>
      <c r="F1" s="213"/>
      <c r="G1" s="213"/>
      <c r="H1" s="213"/>
      <c r="I1" s="213"/>
      <c r="J1" s="213"/>
      <c r="L1" s="212" t="str">
        <f>Navigation!$A$1</f>
        <v>Nights in white satin</v>
      </c>
      <c r="M1" s="207"/>
    </row>
    <row r="2" spans="2:13" ht="14" x14ac:dyDescent="0.3">
      <c r="B2" s="214" t="s">
        <v>71</v>
      </c>
      <c r="C2" s="215"/>
      <c r="D2" s="215"/>
      <c r="E2" s="215"/>
      <c r="F2" s="215"/>
      <c r="G2" s="215"/>
      <c r="H2" s="215"/>
      <c r="I2" s="215"/>
      <c r="J2" s="216"/>
    </row>
    <row r="3" spans="2:13" ht="14" x14ac:dyDescent="0.3">
      <c r="B3" s="217" t="s">
        <v>70</v>
      </c>
      <c r="C3" s="218"/>
      <c r="D3" s="218"/>
      <c r="E3" s="218"/>
      <c r="F3" s="218"/>
      <c r="G3" s="218"/>
      <c r="H3" s="218"/>
      <c r="I3" s="218"/>
      <c r="J3" s="219"/>
    </row>
    <row r="4" spans="2:13" ht="5.5" customHeight="1" x14ac:dyDescent="0.3"/>
    <row r="5" spans="2:13" s="150" customFormat="1" ht="17.5" x14ac:dyDescent="0.35">
      <c r="B5" s="221" t="s">
        <v>183</v>
      </c>
      <c r="C5" s="221"/>
      <c r="D5" s="221"/>
      <c r="E5" s="221"/>
      <c r="F5" s="221"/>
      <c r="G5" s="221"/>
      <c r="H5" s="221"/>
      <c r="I5" s="222" t="str">
        <f>DATA!A10</f>
        <v>Hotel:</v>
      </c>
      <c r="J5" s="223" t="str">
        <f>DATA!C10</f>
        <v>Villa Maris</v>
      </c>
    </row>
    <row r="6" spans="2:13" ht="15.5" x14ac:dyDescent="0.35">
      <c r="B6" s="72"/>
      <c r="C6" s="72"/>
      <c r="D6" s="72"/>
      <c r="E6" s="72"/>
      <c r="F6" s="72"/>
      <c r="G6" s="72"/>
      <c r="H6" s="72"/>
      <c r="I6" s="222" t="str">
        <f>DATA!A14</f>
        <v>Jahr:</v>
      </c>
      <c r="J6" s="224">
        <f>DATA!D14</f>
        <v>2015</v>
      </c>
    </row>
    <row r="7" spans="2:13" ht="3.65" customHeight="1" x14ac:dyDescent="0.3"/>
    <row r="8" spans="2:13" x14ac:dyDescent="0.3">
      <c r="C8" s="62"/>
      <c r="D8" s="66" t="s">
        <v>34</v>
      </c>
      <c r="E8" s="67"/>
    </row>
    <row r="9" spans="2:13" ht="26" x14ac:dyDescent="0.3">
      <c r="C9" s="47" t="s">
        <v>42</v>
      </c>
      <c r="D9" s="47" t="s">
        <v>106</v>
      </c>
      <c r="E9" s="47" t="s">
        <v>48</v>
      </c>
      <c r="F9" s="47" t="s">
        <v>59</v>
      </c>
      <c r="G9" s="47" t="s">
        <v>39</v>
      </c>
      <c r="I9" s="47" t="s">
        <v>107</v>
      </c>
    </row>
    <row r="10" spans="2:13" ht="4.1500000000000004" customHeight="1" x14ac:dyDescent="0.3">
      <c r="C10" s="75"/>
      <c r="D10" s="75"/>
      <c r="E10" s="75"/>
      <c r="F10" s="75"/>
      <c r="G10" s="75"/>
      <c r="I10" s="75"/>
    </row>
    <row r="11" spans="2:13" x14ac:dyDescent="0.3">
      <c r="C11" s="84">
        <v>45</v>
      </c>
      <c r="D11" s="149">
        <v>1.8</v>
      </c>
      <c r="E11" s="76">
        <f>-DATA!H$71*D11</f>
        <v>-23.259850437851266</v>
      </c>
      <c r="F11" s="76">
        <f t="shared" ref="F11:F20" si="0">IF(C11=0,0,C11+E11)</f>
        <v>21.740149562148734</v>
      </c>
      <c r="G11" s="85">
        <v>12000</v>
      </c>
      <c r="I11" s="39">
        <f t="shared" ref="I11:I20" si="1">F11*G11</f>
        <v>260881.79474578481</v>
      </c>
    </row>
    <row r="12" spans="2:13" x14ac:dyDescent="0.3">
      <c r="C12" s="84">
        <v>50</v>
      </c>
      <c r="D12" s="149">
        <v>1</v>
      </c>
      <c r="E12" s="76">
        <f>-DATA!H$71*D12</f>
        <v>-12.922139132139591</v>
      </c>
      <c r="F12" s="76">
        <f t="shared" si="0"/>
        <v>37.077860867860409</v>
      </c>
      <c r="G12" s="85">
        <v>3800</v>
      </c>
      <c r="I12" s="39">
        <f t="shared" si="1"/>
        <v>140895.87129786954</v>
      </c>
    </row>
    <row r="13" spans="2:13" x14ac:dyDescent="0.3">
      <c r="C13" s="84">
        <v>52</v>
      </c>
      <c r="D13" s="149">
        <v>1</v>
      </c>
      <c r="E13" s="76">
        <f>-DATA!H$71*D13</f>
        <v>-12.922139132139591</v>
      </c>
      <c r="F13" s="76">
        <f>IF(C13=0,0,C13+E13)</f>
        <v>39.077860867860409</v>
      </c>
      <c r="G13" s="85">
        <v>1000</v>
      </c>
      <c r="I13" s="39">
        <f t="shared" si="1"/>
        <v>39077.860867860407</v>
      </c>
    </row>
    <row r="14" spans="2:13" x14ac:dyDescent="0.3">
      <c r="C14" s="84">
        <v>55</v>
      </c>
      <c r="D14" s="149">
        <v>1</v>
      </c>
      <c r="E14" s="76">
        <f>-DATA!H$71*D14</f>
        <v>-12.922139132139591</v>
      </c>
      <c r="F14" s="76">
        <f>IF(C14=0,0,C14+E14)</f>
        <v>42.077860867860409</v>
      </c>
      <c r="G14" s="85">
        <v>1000</v>
      </c>
      <c r="I14" s="39">
        <f t="shared" si="1"/>
        <v>42077.860867860407</v>
      </c>
    </row>
    <row r="15" spans="2:13" x14ac:dyDescent="0.3">
      <c r="C15" s="84">
        <v>57</v>
      </c>
      <c r="D15" s="149">
        <v>1</v>
      </c>
      <c r="E15" s="76">
        <f>-DATA!H$71*D15</f>
        <v>-12.922139132139591</v>
      </c>
      <c r="F15" s="76">
        <f t="shared" si="0"/>
        <v>44.077860867860409</v>
      </c>
      <c r="G15" s="85">
        <v>2200</v>
      </c>
      <c r="I15" s="39">
        <f t="shared" si="1"/>
        <v>96971.293909292901</v>
      </c>
    </row>
    <row r="16" spans="2:13" x14ac:dyDescent="0.3">
      <c r="C16" s="84">
        <v>65</v>
      </c>
      <c r="D16" s="149">
        <v>1</v>
      </c>
      <c r="E16" s="76">
        <f>-DATA!H$71*D16</f>
        <v>-12.922139132139591</v>
      </c>
      <c r="F16" s="76">
        <f t="shared" si="0"/>
        <v>52.077860867860409</v>
      </c>
      <c r="G16" s="85">
        <v>4300</v>
      </c>
      <c r="I16" s="39">
        <f t="shared" si="1"/>
        <v>223934.80173179976</v>
      </c>
    </row>
    <row r="17" spans="2:10" x14ac:dyDescent="0.3">
      <c r="C17" s="84">
        <v>75</v>
      </c>
      <c r="D17" s="149">
        <v>1</v>
      </c>
      <c r="E17" s="76">
        <f>-DATA!H$71*D17</f>
        <v>-12.922139132139591</v>
      </c>
      <c r="F17" s="76">
        <f t="shared" si="0"/>
        <v>62.077860867860409</v>
      </c>
      <c r="G17" s="85">
        <v>800</v>
      </c>
      <c r="I17" s="39">
        <f t="shared" si="1"/>
        <v>49662.288694288327</v>
      </c>
    </row>
    <row r="18" spans="2:10" x14ac:dyDescent="0.3">
      <c r="C18" s="84">
        <v>75</v>
      </c>
      <c r="D18" s="149">
        <v>1</v>
      </c>
      <c r="E18" s="76">
        <f>-DATA!H$71*D18</f>
        <v>-12.922139132139591</v>
      </c>
      <c r="F18" s="76">
        <f t="shared" si="0"/>
        <v>62.077860867860409</v>
      </c>
      <c r="G18" s="85">
        <v>700</v>
      </c>
      <c r="I18" s="39">
        <f t="shared" si="1"/>
        <v>43454.502607502283</v>
      </c>
    </row>
    <row r="19" spans="2:10" x14ac:dyDescent="0.3">
      <c r="C19" s="84">
        <v>75</v>
      </c>
      <c r="D19" s="149">
        <v>1.4</v>
      </c>
      <c r="E19" s="76">
        <f>-DATA!H$71*D19</f>
        <v>-18.090994784995427</v>
      </c>
      <c r="F19" s="76">
        <f t="shared" si="0"/>
        <v>56.909005215004569</v>
      </c>
      <c r="G19" s="85">
        <v>1000</v>
      </c>
      <c r="I19" s="39">
        <f t="shared" si="1"/>
        <v>56909.005215004567</v>
      </c>
    </row>
    <row r="20" spans="2:10" x14ac:dyDescent="0.3">
      <c r="C20" s="84">
        <v>85</v>
      </c>
      <c r="D20" s="149">
        <v>1</v>
      </c>
      <c r="E20" s="76">
        <f>-DATA!H$71*D20</f>
        <v>-12.922139132139591</v>
      </c>
      <c r="F20" s="76">
        <f t="shared" si="0"/>
        <v>72.077860867860409</v>
      </c>
      <c r="G20" s="85">
        <v>3200</v>
      </c>
      <c r="I20" s="39">
        <f t="shared" si="1"/>
        <v>230649.15477715331</v>
      </c>
    </row>
    <row r="21" spans="2:10" ht="6" customHeight="1" x14ac:dyDescent="0.3"/>
    <row r="22" spans="2:10" x14ac:dyDescent="0.3">
      <c r="C22" s="77">
        <f>IF(G22=0,0,(C11*G11+C12*G12+C15*G15+C16*G16+C17*G17+C20*G20)/G22)</f>
        <v>48.896666666666668</v>
      </c>
      <c r="D22" s="78">
        <f>(D11*G11)+(D12*G12)+(D13*G13)+(D14*G14)+(D15*G15)+(D16*G16)+(D17*G17)+(D18*G18)+(D19*G19)+(D20*G20)</f>
        <v>40000</v>
      </c>
      <c r="E22" s="76">
        <f>((E11*G11)+(E12*G12)+(E15*G15)+(E16*G16)+(E17*G17)+(E18*G18)+(E19*G19)+(E20*G20))/G22</f>
        <v>-16.368042900710154</v>
      </c>
      <c r="F22" s="77">
        <f>C22+E22</f>
        <v>32.52862376595651</v>
      </c>
      <c r="G22" s="78">
        <f>SUM(G11:G20)</f>
        <v>30000</v>
      </c>
      <c r="I22" s="39">
        <f>SUM(I11:I20)</f>
        <v>1184514.4347144163</v>
      </c>
    </row>
    <row r="26" spans="2:10" ht="15.5" x14ac:dyDescent="0.35">
      <c r="E26" s="65">
        <f>I22</f>
        <v>1184514.4347144163</v>
      </c>
      <c r="J26" s="81" t="s">
        <v>57</v>
      </c>
    </row>
    <row r="27" spans="2:10" ht="16.149999999999999" customHeight="1" x14ac:dyDescent="0.3">
      <c r="C27" s="318" t="str">
        <f>IF(C25&gt;0,"variable Kosten sind gedeckt!","")</f>
        <v/>
      </c>
      <c r="D27" s="318"/>
      <c r="G27" s="44"/>
      <c r="H27" s="44"/>
      <c r="J27" s="82" t="s">
        <v>60</v>
      </c>
    </row>
    <row r="28" spans="2:10" ht="15.5" x14ac:dyDescent="0.35">
      <c r="C28" s="45"/>
      <c r="D28" s="45"/>
      <c r="E28" s="55" t="s">
        <v>49</v>
      </c>
      <c r="G28" s="45"/>
      <c r="H28" s="45"/>
      <c r="J28" s="82" t="s">
        <v>69</v>
      </c>
    </row>
    <row r="29" spans="2:10" ht="5.5" customHeight="1" x14ac:dyDescent="0.3">
      <c r="B29" s="50"/>
      <c r="C29" s="316"/>
      <c r="D29" s="317"/>
      <c r="F29" s="54"/>
      <c r="G29" s="51"/>
      <c r="H29" s="51"/>
      <c r="I29" s="50"/>
      <c r="J29" s="82"/>
    </row>
    <row r="30" spans="2:10" ht="21" customHeight="1" x14ac:dyDescent="0.4">
      <c r="E30" s="65">
        <f>DATA!F39-DATA!J71</f>
        <v>1002356.5060000001</v>
      </c>
      <c r="J30" s="83">
        <f>I22-E30</f>
        <v>182157.92871441622</v>
      </c>
    </row>
    <row r="31" spans="2:10" ht="20.25" customHeight="1" x14ac:dyDescent="0.3"/>
  </sheetData>
  <mergeCells count="2">
    <mergeCell ref="C29:D29"/>
    <mergeCell ref="C27:D27"/>
  </mergeCells>
  <phoneticPr fontId="3" type="noConversion"/>
  <conditionalFormatting sqref="J26:J30">
    <cfRule type="expression" priority="1" stopIfTrue="1">
      <formula>J$30=0</formula>
    </cfRule>
    <cfRule type="expression" dxfId="10" priority="2" stopIfTrue="1">
      <formula>J$30&gt;0</formula>
    </cfRule>
    <cfRule type="expression" dxfId="9" priority="3" stopIfTrue="1">
      <formula>J$30&lt;0</formula>
    </cfRule>
  </conditionalFormatting>
  <hyperlinks>
    <hyperlink ref="L1" location="Navigation!A1" display="=Navigation!$A$1"/>
  </hyperlinks>
  <printOptions verticalCentered="1"/>
  <pageMargins left="0.78740157480314965" right="0.19685039370078741" top="0.19685039370078741" bottom="0.78740157480314965" header="0.51181102362204722" footer="0.51181102362204722"/>
  <pageSetup paperSize="9"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L4" sqref="L4"/>
    </sheetView>
  </sheetViews>
  <sheetFormatPr baseColWidth="10" defaultColWidth="11.453125" defaultRowHeight="13" x14ac:dyDescent="0.3"/>
  <cols>
    <col min="1" max="1" width="0.54296875" style="5" customWidth="1"/>
    <col min="2" max="2" width="1.26953125" style="5" customWidth="1"/>
    <col min="3" max="3" width="21.7265625" style="5" customWidth="1"/>
    <col min="4" max="4" width="7.7265625" style="5" customWidth="1"/>
    <col min="5" max="5" width="14.81640625" style="5" customWidth="1"/>
    <col min="6" max="6" width="21.54296875" style="5" customWidth="1"/>
    <col min="7" max="7" width="14.26953125" style="5" customWidth="1"/>
    <col min="8" max="8" width="10.1796875" style="5" customWidth="1"/>
    <col min="9" max="9" width="7.26953125" style="5" customWidth="1"/>
    <col min="10" max="10" width="3.81640625" style="5" customWidth="1"/>
    <col min="11" max="11" width="20.1796875" style="5" customWidth="1"/>
    <col min="12" max="12" width="9.453125" style="5" customWidth="1"/>
    <col min="13" max="16384" width="11.453125" style="5"/>
  </cols>
  <sheetData>
    <row r="1" spans="2:12" ht="24" thickBot="1" x14ac:dyDescent="0.35">
      <c r="K1" s="212" t="str">
        <f>Navigation!$A$1</f>
        <v>Nights in white satin</v>
      </c>
      <c r="L1" s="207"/>
    </row>
    <row r="4" spans="2:12" ht="6.75" customHeight="1" x14ac:dyDescent="0.3"/>
    <row r="5" spans="2:12" ht="6" customHeight="1" x14ac:dyDescent="0.3"/>
    <row r="6" spans="2:12" ht="18" x14ac:dyDescent="0.4">
      <c r="E6" s="265" t="s">
        <v>197</v>
      </c>
      <c r="G6" s="234">
        <f>DATA!D14</f>
        <v>2015</v>
      </c>
    </row>
    <row r="7" spans="2:12" s="80" customFormat="1" ht="15.5" x14ac:dyDescent="0.35">
      <c r="E7" s="274" t="s">
        <v>208</v>
      </c>
      <c r="G7" s="273"/>
    </row>
    <row r="8" spans="2:12" ht="6" customHeight="1" x14ac:dyDescent="0.3">
      <c r="E8" s="40"/>
      <c r="F8" s="64"/>
    </row>
    <row r="9" spans="2:12" s="31" customFormat="1" x14ac:dyDescent="0.3">
      <c r="B9" s="5"/>
      <c r="C9" s="5" t="s">
        <v>184</v>
      </c>
      <c r="E9" s="68"/>
      <c r="F9" s="70"/>
    </row>
    <row r="10" spans="2:12" x14ac:dyDescent="0.3">
      <c r="C10" s="5" t="s">
        <v>160</v>
      </c>
      <c r="E10" s="40"/>
      <c r="F10" s="41"/>
    </row>
    <row r="11" spans="2:12" ht="4.1500000000000004" customHeight="1" x14ac:dyDescent="0.3">
      <c r="E11" s="40"/>
    </row>
    <row r="13" spans="2:12" ht="15.5" x14ac:dyDescent="0.35">
      <c r="F13" s="194" t="s">
        <v>185</v>
      </c>
    </row>
    <row r="14" spans="2:12" ht="26.5" customHeight="1" x14ac:dyDescent="0.3">
      <c r="D14" s="34"/>
      <c r="E14" s="195" t="str">
        <f>'PC1'!C15</f>
        <v>pro Zimmer/Nacht:</v>
      </c>
      <c r="F14" s="195" t="str">
        <f>'PC1'!C16</f>
        <v>variable Kosten</v>
      </c>
      <c r="G14" s="196">
        <f>DATA!G71</f>
        <v>15.485107721046079</v>
      </c>
    </row>
    <row r="15" spans="2:12" x14ac:dyDescent="0.3">
      <c r="F15" s="40"/>
      <c r="G15" s="64"/>
    </row>
    <row r="16" spans="2:12" x14ac:dyDescent="0.3">
      <c r="F16" s="40"/>
      <c r="G16" s="64"/>
    </row>
    <row r="17" spans="1:11" x14ac:dyDescent="0.3">
      <c r="B17" s="40"/>
      <c r="C17" s="31" t="s">
        <v>158</v>
      </c>
    </row>
    <row r="18" spans="1:11" s="96" customFormat="1" ht="13.5" thickBot="1" x14ac:dyDescent="0.35">
      <c r="C18" s="31" t="s">
        <v>159</v>
      </c>
      <c r="D18" s="97"/>
      <c r="F18" s="40"/>
      <c r="G18" s="40"/>
      <c r="H18" s="40"/>
      <c r="K18" s="267" t="s">
        <v>165</v>
      </c>
    </row>
    <row r="19" spans="1:11" ht="13.5" thickBot="1" x14ac:dyDescent="0.35">
      <c r="C19" s="31" t="s">
        <v>163</v>
      </c>
      <c r="D19" s="44"/>
      <c r="K19" s="270" t="s">
        <v>68</v>
      </c>
    </row>
    <row r="20" spans="1:11" x14ac:dyDescent="0.3">
      <c r="C20" s="31" t="s">
        <v>164</v>
      </c>
      <c r="D20" s="44"/>
    </row>
    <row r="21" spans="1:11" ht="6" customHeight="1" x14ac:dyDescent="0.3">
      <c r="D21" s="44"/>
    </row>
    <row r="22" spans="1:11" x14ac:dyDescent="0.3">
      <c r="D22" s="44"/>
      <c r="F22" s="178" t="s">
        <v>166</v>
      </c>
    </row>
    <row r="23" spans="1:11" s="71" customFormat="1" ht="16.149999999999999" customHeight="1" x14ac:dyDescent="0.3">
      <c r="A23" s="100"/>
      <c r="B23" s="5"/>
      <c r="C23" s="5"/>
      <c r="D23" s="44"/>
      <c r="E23" s="5"/>
      <c r="F23" s="5"/>
      <c r="G23" s="5"/>
      <c r="H23" s="5"/>
      <c r="I23" s="5"/>
      <c r="J23" s="5"/>
      <c r="K23" s="5"/>
    </row>
    <row r="24" spans="1:11" s="72" customFormat="1" ht="16.149999999999999" customHeight="1" x14ac:dyDescent="0.3">
      <c r="A24" s="99"/>
      <c r="B24" s="5"/>
      <c r="D24" s="40" t="s">
        <v>167</v>
      </c>
      <c r="E24" s="197">
        <f>DATA!H71</f>
        <v>12.922139132139591</v>
      </c>
      <c r="G24" s="40" t="s">
        <v>168</v>
      </c>
      <c r="H24" s="43">
        <f>DATA!I71</f>
        <v>20.848778264279179</v>
      </c>
      <c r="I24" s="5"/>
      <c r="J24" s="5"/>
      <c r="K24" s="5"/>
    </row>
    <row r="25" spans="1:11" s="73" customFormat="1" ht="16.149999999999999" customHeight="1" x14ac:dyDescent="0.3">
      <c r="A25" s="101"/>
      <c r="B25" s="5"/>
      <c r="C25" s="5"/>
      <c r="D25" s="44"/>
      <c r="E25" s="5"/>
      <c r="F25" s="5"/>
      <c r="G25" s="5"/>
      <c r="H25" s="5"/>
      <c r="I25" s="5"/>
      <c r="J25" s="5"/>
      <c r="K25" s="5"/>
    </row>
    <row r="26" spans="1:11" s="74" customFormat="1" ht="16.149999999999999" customHeight="1" x14ac:dyDescent="0.3">
      <c r="A26" s="102"/>
      <c r="B26" s="5"/>
      <c r="C26" s="5"/>
      <c r="D26" s="44"/>
      <c r="E26" s="5"/>
      <c r="F26" s="5"/>
      <c r="G26" s="5"/>
      <c r="H26" s="5"/>
      <c r="I26" s="5"/>
      <c r="J26" s="5"/>
      <c r="K26" s="5"/>
    </row>
    <row r="27" spans="1:11" x14ac:dyDescent="0.3">
      <c r="E27" s="5" t="s">
        <v>169</v>
      </c>
    </row>
    <row r="28" spans="1:11" ht="4.1500000000000004" customHeight="1" x14ac:dyDescent="0.3"/>
    <row r="29" spans="1:11" ht="13.5" thickBot="1" x14ac:dyDescent="0.35">
      <c r="F29" s="40" t="s">
        <v>172</v>
      </c>
      <c r="G29" s="40" t="s">
        <v>170</v>
      </c>
      <c r="H29" s="40" t="s">
        <v>171</v>
      </c>
    </row>
    <row r="30" spans="1:11" ht="16" thickBot="1" x14ac:dyDescent="0.4">
      <c r="C30" s="198"/>
      <c r="D30" s="199" t="s">
        <v>173</v>
      </c>
      <c r="E30" s="200"/>
      <c r="F30" s="201">
        <f>E24</f>
        <v>12.922139132139591</v>
      </c>
      <c r="G30" s="202">
        <f>F30*DATA!C18</f>
        <v>2.4552064351065224</v>
      </c>
      <c r="H30" s="203">
        <f>F30+G30</f>
        <v>15.377345567246113</v>
      </c>
      <c r="I30" s="204"/>
    </row>
    <row r="31" spans="1:11" ht="16" thickBot="1" x14ac:dyDescent="0.4">
      <c r="C31" s="198"/>
      <c r="D31" s="199" t="s">
        <v>174</v>
      </c>
      <c r="E31" s="200"/>
      <c r="F31" s="201">
        <f>H24</f>
        <v>20.848778264279179</v>
      </c>
      <c r="G31" s="202">
        <f>F31*DATA!C18</f>
        <v>3.9612678702130442</v>
      </c>
      <c r="H31" s="203">
        <f>F31+G31</f>
        <v>24.810046134492225</v>
      </c>
      <c r="I31" s="204"/>
    </row>
  </sheetData>
  <phoneticPr fontId="3" type="noConversion"/>
  <hyperlinks>
    <hyperlink ref="K19" location="DATA!A64" display="hier klicken!"/>
    <hyperlink ref="K1" location="Navigation!A1" display="=Navigation!$A$1"/>
  </hyperlinks>
  <pageMargins left="0.78740157480314965" right="0" top="0.59055118110236227" bottom="0" header="0.51181102362204722" footer="0.51181102362204722"/>
  <pageSetup paperSize="9" scale="12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zoomScale="95" workbookViewId="0">
      <selection activeCell="A5" sqref="A5"/>
    </sheetView>
  </sheetViews>
  <sheetFormatPr baseColWidth="10" defaultRowHeight="12.5" x14ac:dyDescent="0.25"/>
  <cols>
    <col min="1" max="1" width="5.453125" customWidth="1"/>
    <col min="2" max="2" width="18.7265625" customWidth="1"/>
    <col min="3" max="3" width="10.26953125" customWidth="1"/>
    <col min="4" max="4" width="9.26953125" customWidth="1"/>
    <col min="5" max="7" width="10.7265625" customWidth="1"/>
    <col min="8" max="8" width="9" customWidth="1"/>
    <col min="9" max="9" width="12" customWidth="1"/>
    <col min="11" max="11" width="9.453125" customWidth="1"/>
    <col min="12" max="12" width="4" customWidth="1"/>
    <col min="13" max="13" width="9.26953125" customWidth="1"/>
    <col min="14" max="14" width="22.26953125" customWidth="1"/>
  </cols>
  <sheetData>
    <row r="1" spans="1:14" ht="19.149999999999999" customHeight="1" thickBot="1" x14ac:dyDescent="0.4">
      <c r="A1" s="9" t="s">
        <v>186</v>
      </c>
      <c r="H1" s="31" t="str">
        <f>DATA!A10</f>
        <v>Hotel:</v>
      </c>
      <c r="K1" s="28" t="str">
        <f>DATA!C10</f>
        <v>Villa Maris</v>
      </c>
      <c r="M1" s="212" t="str">
        <f>Navigation!$A$1</f>
        <v>Nights in white satin</v>
      </c>
      <c r="N1" s="207"/>
    </row>
    <row r="2" spans="1:14" ht="7.15" customHeight="1" x14ac:dyDescent="0.3">
      <c r="H2" s="31"/>
    </row>
    <row r="3" spans="1:14" ht="15.5" x14ac:dyDescent="0.35">
      <c r="A3" s="32" t="str">
        <f>DATA!A16</f>
        <v>Berichtswährung:</v>
      </c>
      <c r="B3" s="33"/>
      <c r="C3" s="32" t="str">
        <f>DATA!C16</f>
        <v>EUR</v>
      </c>
      <c r="H3" s="31" t="str">
        <f>DATA!A14</f>
        <v>Jahr:</v>
      </c>
      <c r="K3" s="9">
        <f>DATA!D30</f>
        <v>2014</v>
      </c>
    </row>
    <row r="4" spans="1:14" ht="15.5" x14ac:dyDescent="0.35">
      <c r="A4" s="32"/>
      <c r="B4" s="33"/>
      <c r="C4" s="32"/>
      <c r="K4" s="31"/>
      <c r="N4" s="9"/>
    </row>
    <row r="5" spans="1:14" ht="15.5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1"/>
      <c r="N5" s="9"/>
    </row>
    <row r="6" spans="1:14" ht="4.9000000000000004" customHeight="1" x14ac:dyDescent="0.25"/>
    <row r="7" spans="1:14" ht="66.75" customHeight="1" x14ac:dyDescent="0.3">
      <c r="A7" s="16" t="s">
        <v>31</v>
      </c>
      <c r="B7" s="16" t="str">
        <f>DATA!C84</f>
        <v>Kundensegment</v>
      </c>
      <c r="C7" s="27" t="str">
        <f>DATA!F84</f>
        <v>Anzahl  Zimmer</v>
      </c>
      <c r="D7" s="16" t="str">
        <f>DATA!D84</f>
        <v>Personen pro Zimmer</v>
      </c>
      <c r="E7" s="16" t="str">
        <f>DATA!A56</f>
        <v>Kosten Zimmer-Reinigung</v>
      </c>
      <c r="F7" s="16" t="str">
        <f>DATA!A57</f>
        <v>Kosten Wäscherei</v>
      </c>
      <c r="G7" s="16" t="str">
        <f>DATA!A58</f>
        <v>Kosten Wäsche-Ersatz</v>
      </c>
      <c r="H7" s="16" t="str">
        <f>DATA!A59</f>
        <v xml:space="preserve">Energie-Kosten </v>
      </c>
      <c r="I7" s="16" t="str">
        <f>DATA!A60</f>
        <v>sonstige Kosten (Verbrauchsmaterial etc)</v>
      </c>
      <c r="J7" s="112" t="s">
        <v>96</v>
      </c>
      <c r="K7" s="113" t="s">
        <v>97</v>
      </c>
    </row>
    <row r="8" spans="1:14" ht="24.75" customHeight="1" x14ac:dyDescent="0.35">
      <c r="A8" s="17">
        <v>1</v>
      </c>
      <c r="B8" s="18" t="str">
        <f>DATA!C85</f>
        <v>Geschäftskunden 1</v>
      </c>
      <c r="C8" s="110">
        <f>DATA!F85</f>
        <v>1525</v>
      </c>
      <c r="D8" s="107">
        <f>DATA!D85</f>
        <v>1</v>
      </c>
      <c r="E8" s="104">
        <f>DATA!G$56</f>
        <v>4.8499999999999996</v>
      </c>
      <c r="F8" s="104">
        <f>DATA!H$57*D8</f>
        <v>2.0598614560188211</v>
      </c>
      <c r="G8" s="104">
        <f>DATA!H$58*D8</f>
        <v>0.39210560711018166</v>
      </c>
      <c r="H8" s="104">
        <f>DATA!H$59*D8</f>
        <v>2.4702653247941444</v>
      </c>
      <c r="I8" s="104">
        <f>DATA!H$60*D8</f>
        <v>2.5770748921709581</v>
      </c>
      <c r="J8" s="114">
        <f>SUM(E8:I8)</f>
        <v>12.349307280094106</v>
      </c>
      <c r="K8" s="117">
        <f t="shared" ref="K8:K22" si="0">RANK(J8,J$8:J$22,0)</f>
        <v>5</v>
      </c>
    </row>
    <row r="9" spans="1:14" ht="15.5" x14ac:dyDescent="0.35">
      <c r="A9" s="20">
        <v>2</v>
      </c>
      <c r="B9" s="21" t="str">
        <f>DATA!C86</f>
        <v>Geschäftskunden 2</v>
      </c>
      <c r="C9" s="111">
        <f>DATA!F86</f>
        <v>1500</v>
      </c>
      <c r="D9" s="108">
        <f>DATA!D86</f>
        <v>1</v>
      </c>
      <c r="E9" s="105">
        <f>DATA!G$56</f>
        <v>4.8499999999999996</v>
      </c>
      <c r="F9" s="105">
        <f>DATA!H$57*D9</f>
        <v>2.0598614560188211</v>
      </c>
      <c r="G9" s="105">
        <f>DATA!H$58*D9</f>
        <v>0.39210560711018166</v>
      </c>
      <c r="H9" s="105">
        <f>DATA!H$59*D9</f>
        <v>2.4702653247941444</v>
      </c>
      <c r="I9" s="105">
        <f>DATA!H$60*D9</f>
        <v>2.5770748921709581</v>
      </c>
      <c r="J9" s="115">
        <f t="shared" ref="J9:J22" si="1">SUM(E9:I9)</f>
        <v>12.349307280094106</v>
      </c>
      <c r="K9" s="118">
        <f t="shared" si="0"/>
        <v>5</v>
      </c>
    </row>
    <row r="10" spans="1:14" ht="15.5" x14ac:dyDescent="0.35">
      <c r="A10" s="20">
        <v>3</v>
      </c>
      <c r="B10" s="21" t="str">
        <f>DATA!C87</f>
        <v>Geschäftskunden 3</v>
      </c>
      <c r="C10" s="111">
        <f>DATA!F87</f>
        <v>2800</v>
      </c>
      <c r="D10" s="108">
        <f>DATA!D87</f>
        <v>1</v>
      </c>
      <c r="E10" s="105">
        <f>DATA!G$56</f>
        <v>4.8499999999999996</v>
      </c>
      <c r="F10" s="105">
        <f>DATA!H$57*D10</f>
        <v>2.0598614560188211</v>
      </c>
      <c r="G10" s="105">
        <f>DATA!H$58*D10</f>
        <v>0.39210560711018166</v>
      </c>
      <c r="H10" s="105">
        <f>DATA!H$59*D10</f>
        <v>2.4702653247941444</v>
      </c>
      <c r="I10" s="105">
        <f>DATA!H$60*D10</f>
        <v>2.5770748921709581</v>
      </c>
      <c r="J10" s="115">
        <f t="shared" si="1"/>
        <v>12.349307280094106</v>
      </c>
      <c r="K10" s="118">
        <f t="shared" si="0"/>
        <v>5</v>
      </c>
    </row>
    <row r="11" spans="1:14" ht="15.5" x14ac:dyDescent="0.35">
      <c r="A11" s="20">
        <v>4</v>
      </c>
      <c r="B11" s="21" t="str">
        <f>DATA!C88</f>
        <v>Geschäftskunden 4</v>
      </c>
      <c r="C11" s="111">
        <f>DATA!F88</f>
        <v>1500</v>
      </c>
      <c r="D11" s="108">
        <f>DATA!D88</f>
        <v>1</v>
      </c>
      <c r="E11" s="105">
        <f>DATA!G$56</f>
        <v>4.8499999999999996</v>
      </c>
      <c r="F11" s="105">
        <f>DATA!H$57*D11</f>
        <v>2.0598614560188211</v>
      </c>
      <c r="G11" s="105">
        <f>DATA!H$58*D11</f>
        <v>0.39210560711018166</v>
      </c>
      <c r="H11" s="105">
        <f>DATA!H$59*D11</f>
        <v>2.4702653247941444</v>
      </c>
      <c r="I11" s="105">
        <f>DATA!H$60*D11</f>
        <v>2.5770748921709581</v>
      </c>
      <c r="J11" s="115">
        <f t="shared" si="1"/>
        <v>12.349307280094106</v>
      </c>
      <c r="K11" s="118">
        <f t="shared" si="0"/>
        <v>5</v>
      </c>
    </row>
    <row r="12" spans="1:14" ht="15.5" x14ac:dyDescent="0.35">
      <c r="A12" s="20">
        <v>5</v>
      </c>
      <c r="B12" s="21" t="str">
        <f>DATA!C89</f>
        <v>Geschäftskunden 5</v>
      </c>
      <c r="C12" s="111">
        <f>DATA!F89</f>
        <v>4400</v>
      </c>
      <c r="D12" s="108">
        <f>DATA!D89</f>
        <v>1</v>
      </c>
      <c r="E12" s="105">
        <f>DATA!G$56</f>
        <v>4.8499999999999996</v>
      </c>
      <c r="F12" s="105">
        <f>DATA!H$57*D12</f>
        <v>2.0598614560188211</v>
      </c>
      <c r="G12" s="105">
        <f>DATA!H$58*D12</f>
        <v>0.39210560711018166</v>
      </c>
      <c r="H12" s="105">
        <f>DATA!H$59*D12</f>
        <v>2.4702653247941444</v>
      </c>
      <c r="I12" s="105">
        <f>DATA!H$60*D12</f>
        <v>2.5770748921709581</v>
      </c>
      <c r="J12" s="115">
        <f t="shared" si="1"/>
        <v>12.349307280094106</v>
      </c>
      <c r="K12" s="118">
        <f t="shared" si="0"/>
        <v>5</v>
      </c>
    </row>
    <row r="13" spans="1:14" ht="15.5" x14ac:dyDescent="0.35">
      <c r="A13" s="20">
        <v>6</v>
      </c>
      <c r="B13" s="21" t="str">
        <f>DATA!C90</f>
        <v>Geschäftskunden 6</v>
      </c>
      <c r="C13" s="111">
        <f>DATA!F90</f>
        <v>780</v>
      </c>
      <c r="D13" s="108">
        <f>DATA!D90</f>
        <v>1</v>
      </c>
      <c r="E13" s="105">
        <f>DATA!G$56</f>
        <v>4.8499999999999996</v>
      </c>
      <c r="F13" s="105">
        <f>DATA!H$57*D13</f>
        <v>2.0598614560188211</v>
      </c>
      <c r="G13" s="105">
        <f>DATA!H$58*D13</f>
        <v>0.39210560711018166</v>
      </c>
      <c r="H13" s="105">
        <f>DATA!H$59*D13</f>
        <v>2.4702653247941444</v>
      </c>
      <c r="I13" s="105">
        <f>DATA!H$60*D13</f>
        <v>2.5770748921709581</v>
      </c>
      <c r="J13" s="115">
        <f t="shared" si="1"/>
        <v>12.349307280094106</v>
      </c>
      <c r="K13" s="118">
        <f t="shared" si="0"/>
        <v>5</v>
      </c>
    </row>
    <row r="14" spans="1:14" ht="15.5" x14ac:dyDescent="0.35">
      <c r="A14" s="20">
        <v>7</v>
      </c>
      <c r="B14" s="21" t="str">
        <f>DATA!C91</f>
        <v>Geschäftskunden 7</v>
      </c>
      <c r="C14" s="111">
        <f>DATA!F91</f>
        <v>3050</v>
      </c>
      <c r="D14" s="108">
        <f>DATA!D91</f>
        <v>1</v>
      </c>
      <c r="E14" s="105">
        <f>DATA!G$56</f>
        <v>4.8499999999999996</v>
      </c>
      <c r="F14" s="105">
        <f>DATA!H$57*D14</f>
        <v>2.0598614560188211</v>
      </c>
      <c r="G14" s="105">
        <f>DATA!H$58*D14</f>
        <v>0.39210560711018166</v>
      </c>
      <c r="H14" s="105">
        <f>DATA!H$59*D14</f>
        <v>2.4702653247941444</v>
      </c>
      <c r="I14" s="105">
        <f>DATA!H$60*D14</f>
        <v>2.5770748921709581</v>
      </c>
      <c r="J14" s="115">
        <f t="shared" si="1"/>
        <v>12.349307280094106</v>
      </c>
      <c r="K14" s="118">
        <f t="shared" si="0"/>
        <v>5</v>
      </c>
    </row>
    <row r="15" spans="1:14" ht="15.5" x14ac:dyDescent="0.35">
      <c r="A15" s="20">
        <v>8</v>
      </c>
      <c r="B15" s="21" t="str">
        <f>DATA!C92</f>
        <v>Geschäftskunden 8</v>
      </c>
      <c r="C15" s="111">
        <f>DATA!F92</f>
        <v>500</v>
      </c>
      <c r="D15" s="108">
        <f>DATA!D92</f>
        <v>1</v>
      </c>
      <c r="E15" s="105">
        <f>DATA!G$56</f>
        <v>4.8499999999999996</v>
      </c>
      <c r="F15" s="105">
        <f>DATA!H$57*D15</f>
        <v>2.0598614560188211</v>
      </c>
      <c r="G15" s="105">
        <f>DATA!H$58*D15</f>
        <v>0.39210560711018166</v>
      </c>
      <c r="H15" s="105">
        <f>DATA!H$59*D15</f>
        <v>2.4702653247941444</v>
      </c>
      <c r="I15" s="105">
        <f>DATA!H$60*D15</f>
        <v>2.5770748921709581</v>
      </c>
      <c r="J15" s="115">
        <f t="shared" si="1"/>
        <v>12.349307280094106</v>
      </c>
      <c r="K15" s="118">
        <f t="shared" si="0"/>
        <v>5</v>
      </c>
    </row>
    <row r="16" spans="1:14" ht="15.5" x14ac:dyDescent="0.35">
      <c r="A16" s="20">
        <v>9</v>
      </c>
      <c r="B16" s="21" t="str">
        <f>DATA!C93</f>
        <v>Wochenende</v>
      </c>
      <c r="C16" s="111">
        <f>DATA!F93</f>
        <v>850</v>
      </c>
      <c r="D16" s="108">
        <f>DATA!D93</f>
        <v>1</v>
      </c>
      <c r="E16" s="105">
        <f>DATA!G$56</f>
        <v>4.8499999999999996</v>
      </c>
      <c r="F16" s="105">
        <f>DATA!H$57*D16</f>
        <v>2.0598614560188211</v>
      </c>
      <c r="G16" s="105">
        <f>DATA!H$58*D16</f>
        <v>0.39210560711018166</v>
      </c>
      <c r="H16" s="105">
        <f>DATA!H$59*D16</f>
        <v>2.4702653247941444</v>
      </c>
      <c r="I16" s="105">
        <f>DATA!H$60*D16</f>
        <v>2.5770748921709581</v>
      </c>
      <c r="J16" s="115">
        <f t="shared" si="1"/>
        <v>12.349307280094106</v>
      </c>
      <c r="K16" s="118">
        <f t="shared" si="0"/>
        <v>5</v>
      </c>
    </row>
    <row r="17" spans="1:13" ht="15.5" x14ac:dyDescent="0.35">
      <c r="A17" s="20">
        <v>10</v>
      </c>
      <c r="B17" s="21" t="str">
        <f>DATA!C94</f>
        <v>Messe</v>
      </c>
      <c r="C17" s="111">
        <f>DATA!F94</f>
        <v>1300</v>
      </c>
      <c r="D17" s="108">
        <f>DATA!D94</f>
        <v>1</v>
      </c>
      <c r="E17" s="105">
        <f>DATA!G$56</f>
        <v>4.8499999999999996</v>
      </c>
      <c r="F17" s="105">
        <f>DATA!H$57*D17</f>
        <v>2.0598614560188211</v>
      </c>
      <c r="G17" s="105">
        <f>DATA!H$58*D17</f>
        <v>0.39210560711018166</v>
      </c>
      <c r="H17" s="105">
        <f>DATA!H$59*D17</f>
        <v>2.4702653247941444</v>
      </c>
      <c r="I17" s="105">
        <f>DATA!H$60*D17</f>
        <v>2.5770748921709581</v>
      </c>
      <c r="J17" s="115">
        <f t="shared" si="1"/>
        <v>12.349307280094106</v>
      </c>
      <c r="K17" s="118">
        <f t="shared" si="0"/>
        <v>5</v>
      </c>
    </row>
    <row r="18" spans="1:13" ht="15.5" x14ac:dyDescent="0.35">
      <c r="A18" s="20">
        <v>11</v>
      </c>
      <c r="B18" s="21" t="str">
        <f>DATA!C95</f>
        <v>Walk-In</v>
      </c>
      <c r="C18" s="111">
        <f>DATA!F95</f>
        <v>80</v>
      </c>
      <c r="D18" s="108">
        <f>DATA!D95</f>
        <v>1.625</v>
      </c>
      <c r="E18" s="105">
        <f>DATA!G$56</f>
        <v>4.8499999999999996</v>
      </c>
      <c r="F18" s="105">
        <f>DATA!H$57*D18</f>
        <v>3.3472748660305842</v>
      </c>
      <c r="G18" s="105">
        <f>DATA!H$58*D18</f>
        <v>0.63717161155404523</v>
      </c>
      <c r="H18" s="105">
        <f>DATA!H$59*D18</f>
        <v>4.0141811527904849</v>
      </c>
      <c r="I18" s="105">
        <f>DATA!H$60*D18</f>
        <v>4.187746699777807</v>
      </c>
      <c r="J18" s="115">
        <f t="shared" si="1"/>
        <v>17.03637433015292</v>
      </c>
      <c r="K18" s="118">
        <f t="shared" si="0"/>
        <v>4</v>
      </c>
    </row>
    <row r="19" spans="1:13" ht="15.5" x14ac:dyDescent="0.35">
      <c r="A19" s="20">
        <v>12</v>
      </c>
      <c r="B19" s="21" t="str">
        <f>DATA!C96</f>
        <v>Busreisen</v>
      </c>
      <c r="C19" s="111">
        <f>DATA!F96</f>
        <v>8560</v>
      </c>
      <c r="D19" s="108">
        <f>DATA!D96</f>
        <v>2.0443925233644862</v>
      </c>
      <c r="E19" s="105">
        <f>DATA!G$56</f>
        <v>4.8499999999999996</v>
      </c>
      <c r="F19" s="105">
        <f>DATA!H$57*D19</f>
        <v>4.2111653598515622</v>
      </c>
      <c r="G19" s="105">
        <f>DATA!H$58*D19</f>
        <v>0.80161777154534808</v>
      </c>
      <c r="H19" s="105">
        <f>DATA!H$59*D19</f>
        <v>5.0501919607356927</v>
      </c>
      <c r="I19" s="105">
        <f>DATA!H$60*D19</f>
        <v>5.2685526417046464</v>
      </c>
      <c r="J19" s="115">
        <f t="shared" si="1"/>
        <v>20.18152773383725</v>
      </c>
      <c r="K19" s="118">
        <f t="shared" si="0"/>
        <v>1</v>
      </c>
    </row>
    <row r="20" spans="1:13" ht="15.5" x14ac:dyDescent="0.35">
      <c r="A20" s="20">
        <v>13</v>
      </c>
      <c r="B20" s="21" t="str">
        <f>DATA!C97</f>
        <v>Touristen</v>
      </c>
      <c r="C20" s="111">
        <f>DATA!F97</f>
        <v>395</v>
      </c>
      <c r="D20" s="108">
        <f>DATA!D97</f>
        <v>1.8481012658227849</v>
      </c>
      <c r="E20" s="105">
        <f>DATA!G$56</f>
        <v>4.8499999999999996</v>
      </c>
      <c r="F20" s="105">
        <f>DATA!H$57*D20</f>
        <v>3.8068325642879479</v>
      </c>
      <c r="G20" s="105">
        <f>DATA!H$58*D20</f>
        <v>0.72465086883653829</v>
      </c>
      <c r="H20" s="105">
        <f>DATA!H$59*D20</f>
        <v>4.5653004736701908</v>
      </c>
      <c r="I20" s="105">
        <f>DATA!H$60*D20</f>
        <v>4.7626953703412642</v>
      </c>
      <c r="J20" s="115">
        <f t="shared" si="1"/>
        <v>18.709479277135941</v>
      </c>
      <c r="K20" s="118">
        <f t="shared" si="0"/>
        <v>2</v>
      </c>
    </row>
    <row r="21" spans="1:13" ht="15.5" x14ac:dyDescent="0.35">
      <c r="A21" s="20">
        <v>14</v>
      </c>
      <c r="B21" s="21" t="str">
        <f>DATA!C98</f>
        <v>Tagungen</v>
      </c>
      <c r="C21" s="111">
        <f>DATA!F98</f>
        <v>1570</v>
      </c>
      <c r="D21" s="108">
        <f>DATA!D98</f>
        <v>0.96815286624203822</v>
      </c>
      <c r="E21" s="105">
        <f>DATA!G$56</f>
        <v>4.8499999999999996</v>
      </c>
      <c r="F21" s="105">
        <f>DATA!H$57*D21</f>
        <v>1.9942607727061199</v>
      </c>
      <c r="G21" s="105">
        <f>DATA!H$58*D21</f>
        <v>0.3796181673932969</v>
      </c>
      <c r="H21" s="105">
        <f>DATA!H$59*D21</f>
        <v>2.3915944545777705</v>
      </c>
      <c r="I21" s="105">
        <f>DATA!H$60*D21</f>
        <v>2.4950024433757045</v>
      </c>
      <c r="J21" s="115">
        <f t="shared" si="1"/>
        <v>12.110475838052892</v>
      </c>
      <c r="K21" s="118">
        <f t="shared" si="0"/>
        <v>15</v>
      </c>
    </row>
    <row r="22" spans="1:13" ht="15.5" x14ac:dyDescent="0.35">
      <c r="A22" s="23">
        <v>15</v>
      </c>
      <c r="B22" s="24" t="str">
        <f>DATA!C99</f>
        <v>Musicalgäste</v>
      </c>
      <c r="C22" s="111">
        <f>DATA!F99</f>
        <v>98</v>
      </c>
      <c r="D22" s="109">
        <f>DATA!D99</f>
        <v>1.7346938775510203</v>
      </c>
      <c r="E22" s="106">
        <f>DATA!G$56</f>
        <v>4.8499999999999996</v>
      </c>
      <c r="F22" s="106">
        <f>DATA!H$57*D22</f>
        <v>3.5732290563591791</v>
      </c>
      <c r="G22" s="106">
        <f>DATA!H$58*D22</f>
        <v>0.68018319600745791</v>
      </c>
      <c r="H22" s="106">
        <f>DATA!H$59*D22</f>
        <v>4.2851541348469846</v>
      </c>
      <c r="I22" s="106">
        <f>DATA!H$60*D22</f>
        <v>4.4704360374394172</v>
      </c>
      <c r="J22" s="116">
        <f t="shared" si="1"/>
        <v>17.859002424653038</v>
      </c>
      <c r="K22" s="119">
        <f t="shared" si="0"/>
        <v>3</v>
      </c>
    </row>
    <row r="23" spans="1:13" s="5" customFormat="1" ht="19.149999999999999" customHeight="1" x14ac:dyDescent="0.3">
      <c r="E23" s="34"/>
      <c r="F23" s="34"/>
      <c r="G23" s="34"/>
      <c r="H23" s="34"/>
      <c r="I23" s="34"/>
      <c r="J23" s="34"/>
      <c r="K23" s="34"/>
      <c r="M23"/>
    </row>
    <row r="24" spans="1:13" x14ac:dyDescent="0.25">
      <c r="B24" s="153" t="s">
        <v>176</v>
      </c>
      <c r="C24" s="154" t="s">
        <v>177</v>
      </c>
      <c r="E24" s="154"/>
      <c r="F24" s="154"/>
      <c r="G24" s="154"/>
      <c r="H24" s="154"/>
    </row>
  </sheetData>
  <phoneticPr fontId="3" type="noConversion"/>
  <conditionalFormatting sqref="A8:J22 B24">
    <cfRule type="expression" dxfId="8" priority="1" stopIfTrue="1">
      <formula>OR($K8=1,$K8=2,$K8=3)</formula>
    </cfRule>
  </conditionalFormatting>
  <conditionalFormatting sqref="K8:K22">
    <cfRule type="cellIs" dxfId="7" priority="2" stopIfTrue="1" operator="between">
      <formula>1</formula>
      <formula>3</formula>
    </cfRule>
  </conditionalFormatting>
  <hyperlinks>
    <hyperlink ref="M1" location="Navigation!A1" display="=Navigation!$A$1"/>
  </hyperlinks>
  <pageMargins left="1.181102362204724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WELCOME</vt:lpstr>
      <vt:lpstr>Navigation</vt:lpstr>
      <vt:lpstr>DATA</vt:lpstr>
      <vt:lpstr>PC1</vt:lpstr>
      <vt:lpstr>PC2</vt:lpstr>
      <vt:lpstr>PC3</vt:lpstr>
      <vt:lpstr>PC4</vt:lpstr>
      <vt:lpstr>PC5</vt:lpstr>
      <vt:lpstr>BMcost</vt:lpstr>
      <vt:lpstr>BMrev</vt:lpstr>
      <vt:lpstr>BMg</vt:lpstr>
      <vt:lpstr>BMcost!Druckbereich</vt:lpstr>
      <vt:lpstr>BMg!Druckbereich</vt:lpstr>
      <vt:lpstr>BMrev!Druckbereich</vt:lpstr>
      <vt:lpstr>Navigation!Druckbereich</vt:lpstr>
      <vt:lpstr>PC1!Druckbereich</vt:lpstr>
      <vt:lpstr>PC2!Druckbereich</vt:lpstr>
      <vt:lpstr>PC3!Druckbereich</vt:lpstr>
      <vt:lpstr>PC4!Druckbereich</vt:lpstr>
      <vt:lpstr>PC5!Druckbereich</vt:lpstr>
      <vt:lpstr>WELCOME!Druckbereich</vt:lpstr>
      <vt:lpstr>Help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kbs_000</cp:lastModifiedBy>
  <cp:lastPrinted>2007-10-06T19:19:54Z</cp:lastPrinted>
  <dcterms:created xsi:type="dcterms:W3CDTF">2006-09-06T12:01:48Z</dcterms:created>
  <dcterms:modified xsi:type="dcterms:W3CDTF">2014-11-03T19:18:12Z</dcterms:modified>
</cp:coreProperties>
</file>