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6.xml" ContentType="application/vnd.ms-excel.controlproperti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1 K! BS\MWB\MagicFreebies\FreebiesD\"/>
    </mc:Choice>
  </mc:AlternateContent>
  <bookViews>
    <workbookView xWindow="480" yWindow="120" windowWidth="15480" windowHeight="9470"/>
  </bookViews>
  <sheets>
    <sheet name="WELCOME" sheetId="10" r:id="rId1"/>
    <sheet name="Navigation" sheetId="11" r:id="rId2"/>
    <sheet name="DATA" sheetId="1" r:id="rId3"/>
    <sheet name="Survey" sheetId="4" r:id="rId4"/>
    <sheet name="UmsatzMonat" sheetId="5" r:id="rId5"/>
    <sheet name="TrendMonat" sheetId="6" r:id="rId6"/>
    <sheet name="TrendJahr" sheetId="7" r:id="rId7"/>
    <sheet name="AbweichungMonat" sheetId="9" r:id="rId8"/>
    <sheet name="AbweichungJahr" sheetId="8" r:id="rId9"/>
    <sheet name="JahrOffen" sheetId="12" r:id="rId10"/>
  </sheets>
  <definedNames>
    <definedName name="_xlnm.Print_Area" localSheetId="8">AbweichungJahr!$A$1:$N$27</definedName>
    <definedName name="_xlnm.Print_Area" localSheetId="7">AbweichungMonat!$A$1:$N$27</definedName>
    <definedName name="_xlnm.Print_Area" localSheetId="9">JahrOffen!$A$1:$M$34</definedName>
    <definedName name="_xlnm.Print_Area" localSheetId="3">Survey!$A$1:$O$31</definedName>
    <definedName name="_xlnm.Print_Area" localSheetId="6">TrendJahr!$A$1:$N$27</definedName>
    <definedName name="_xlnm.Print_Area" localSheetId="5">TrendMonat!$A$1:$N$27</definedName>
    <definedName name="_xlnm.Print_Area" localSheetId="4">UmsatzMonat!$A$1:$M$25</definedName>
  </definedNames>
  <calcPr calcId="152511"/>
</workbook>
</file>

<file path=xl/calcChain.xml><?xml version="1.0" encoding="utf-8"?>
<calcChain xmlns="http://schemas.openxmlformats.org/spreadsheetml/2006/main">
  <c r="C1" i="10" l="1"/>
  <c r="A44" i="10" s="1"/>
  <c r="M1" i="8"/>
  <c r="A3" i="8"/>
  <c r="D3" i="8"/>
  <c r="J6" i="8"/>
  <c r="K6" i="8"/>
  <c r="L6" i="8"/>
  <c r="M6" i="8"/>
  <c r="J7" i="8"/>
  <c r="K7" i="8"/>
  <c r="L7" i="8"/>
  <c r="M7" i="8"/>
  <c r="J8" i="8"/>
  <c r="K8" i="8"/>
  <c r="L8" i="8"/>
  <c r="M8" i="8"/>
  <c r="O19" i="8"/>
  <c r="M1" i="9"/>
  <c r="A3" i="9"/>
  <c r="D3" i="9"/>
  <c r="G6" i="9"/>
  <c r="H6" i="9"/>
  <c r="I6" i="9"/>
  <c r="J6" i="9"/>
  <c r="K6" i="9"/>
  <c r="L6" i="9"/>
  <c r="M6" i="9"/>
  <c r="G7" i="9"/>
  <c r="H7" i="9"/>
  <c r="I7" i="9"/>
  <c r="J7" i="9"/>
  <c r="K7" i="9"/>
  <c r="L7" i="9"/>
  <c r="M7" i="9"/>
  <c r="G8" i="9"/>
  <c r="H8" i="9"/>
  <c r="I8" i="9"/>
  <c r="J8" i="9"/>
  <c r="K8" i="9"/>
  <c r="L8" i="9"/>
  <c r="M8" i="9"/>
  <c r="O18" i="9"/>
  <c r="C7" i="1"/>
  <c r="A18" i="1"/>
  <c r="B5" i="8" s="1"/>
  <c r="B31" i="1"/>
  <c r="D31" i="1"/>
  <c r="M1" i="12"/>
  <c r="K6" i="12"/>
  <c r="K11" i="12" s="1"/>
  <c r="L6" i="12"/>
  <c r="L11" i="12" s="1"/>
  <c r="M6" i="12"/>
  <c r="M11" i="12" s="1"/>
  <c r="K7" i="12"/>
  <c r="L7" i="12"/>
  <c r="M7" i="12"/>
  <c r="A11" i="12"/>
  <c r="D15" i="12" s="1"/>
  <c r="A12" i="12"/>
  <c r="J15" i="12" s="1"/>
  <c r="O36" i="12"/>
  <c r="K1" i="4"/>
  <c r="O1" i="4"/>
  <c r="Q1" i="4"/>
  <c r="A3" i="4"/>
  <c r="C3" i="4"/>
  <c r="B16" i="4"/>
  <c r="D16" i="4"/>
  <c r="A18" i="4"/>
  <c r="B18" i="4"/>
  <c r="B6" i="9"/>
  <c r="D18" i="4"/>
  <c r="E18" i="4"/>
  <c r="K18" i="4"/>
  <c r="B6" i="8"/>
  <c r="B19" i="4"/>
  <c r="K19" i="4"/>
  <c r="D19" i="4"/>
  <c r="H19" i="4"/>
  <c r="B20" i="4"/>
  <c r="D6" i="9"/>
  <c r="D8" i="9" s="1"/>
  <c r="D20" i="4"/>
  <c r="H20" i="4" s="1"/>
  <c r="D8" i="12" s="1"/>
  <c r="D12" i="12" s="1"/>
  <c r="G20" i="4"/>
  <c r="B21" i="4"/>
  <c r="E6" i="9" s="1"/>
  <c r="D21" i="4"/>
  <c r="B22" i="4"/>
  <c r="F6" i="9"/>
  <c r="D22" i="4"/>
  <c r="E22" i="4" s="1"/>
  <c r="B23" i="4"/>
  <c r="D23" i="4"/>
  <c r="G23" i="4"/>
  <c r="B24" i="4"/>
  <c r="D24" i="4"/>
  <c r="G24" i="4" s="1"/>
  <c r="E24" i="4"/>
  <c r="B25" i="4"/>
  <c r="D25" i="4"/>
  <c r="E25" i="4"/>
  <c r="B26" i="4"/>
  <c r="D26" i="4"/>
  <c r="B27" i="4"/>
  <c r="D27" i="4"/>
  <c r="E27" i="4" s="1"/>
  <c r="G27" i="4"/>
  <c r="B28" i="4"/>
  <c r="D28" i="4"/>
  <c r="E28" i="4" s="1"/>
  <c r="G28" i="4"/>
  <c r="B29" i="4"/>
  <c r="D29" i="4"/>
  <c r="E29" i="4" s="1"/>
  <c r="A31" i="4"/>
  <c r="M1" i="7"/>
  <c r="A3" i="7"/>
  <c r="D3" i="7"/>
  <c r="AA7" i="7"/>
  <c r="O17" i="7"/>
  <c r="M1" i="6"/>
  <c r="A3" i="6"/>
  <c r="D3" i="6"/>
  <c r="B6" i="6"/>
  <c r="C6" i="6"/>
  <c r="D6" i="6"/>
  <c r="E6" i="6"/>
  <c r="F6" i="6"/>
  <c r="G6" i="6"/>
  <c r="H6" i="6"/>
  <c r="I6" i="6"/>
  <c r="J6" i="6"/>
  <c r="K6" i="6"/>
  <c r="L6" i="6"/>
  <c r="M6" i="6"/>
  <c r="B7" i="6"/>
  <c r="C7" i="6"/>
  <c r="D7" i="6"/>
  <c r="E7" i="6"/>
  <c r="F7" i="6"/>
  <c r="G7" i="6"/>
  <c r="H7" i="6"/>
  <c r="I7" i="6"/>
  <c r="J7" i="6"/>
  <c r="K7" i="6"/>
  <c r="L7" i="6"/>
  <c r="M7" i="6"/>
  <c r="D8" i="6"/>
  <c r="O16" i="6"/>
  <c r="M1" i="5"/>
  <c r="A3" i="5"/>
  <c r="D3" i="5"/>
  <c r="B5" i="5"/>
  <c r="B6" i="5"/>
  <c r="C6" i="5"/>
  <c r="D6" i="5"/>
  <c r="E6" i="5"/>
  <c r="F6" i="5"/>
  <c r="G6" i="5"/>
  <c r="H6" i="5"/>
  <c r="I6" i="5"/>
  <c r="J6" i="5"/>
  <c r="K6" i="5"/>
  <c r="L6" i="5"/>
  <c r="M6" i="5"/>
  <c r="O16" i="5"/>
  <c r="B6" i="7"/>
  <c r="G29" i="4"/>
  <c r="G25" i="4"/>
  <c r="G22" i="4"/>
  <c r="E19" i="4"/>
  <c r="G18" i="4"/>
  <c r="B6" i="12"/>
  <c r="F7" i="9"/>
  <c r="F8" i="9" s="1"/>
  <c r="B7" i="9"/>
  <c r="B8" i="9" s="1"/>
  <c r="G19" i="4"/>
  <c r="H18" i="4"/>
  <c r="B8" i="6" s="1"/>
  <c r="C6" i="9"/>
  <c r="C8" i="9" s="1"/>
  <c r="G21" i="4"/>
  <c r="M18" i="4"/>
  <c r="B7" i="12" s="1"/>
  <c r="B11" i="12" s="1"/>
  <c r="D7" i="1"/>
  <c r="B7" i="8"/>
  <c r="B8" i="8"/>
  <c r="B7" i="7"/>
  <c r="O18" i="4"/>
  <c r="B8" i="7"/>
  <c r="C8" i="12"/>
  <c r="C12" i="12" s="1"/>
  <c r="C8" i="6"/>
  <c r="O19" i="4"/>
  <c r="O20" i="4"/>
  <c r="C8" i="7"/>
  <c r="D7" i="9"/>
  <c r="D8" i="7"/>
  <c r="C7" i="9"/>
  <c r="K20" i="4"/>
  <c r="B8" i="12"/>
  <c r="B12" i="12"/>
  <c r="M19" i="4"/>
  <c r="E23" i="4"/>
  <c r="E20" i="4"/>
  <c r="AA7" i="9" l="1"/>
  <c r="B5" i="7"/>
  <c r="AA7" i="8"/>
  <c r="B5" i="9"/>
  <c r="AA7" i="6"/>
  <c r="B5" i="12"/>
  <c r="A19" i="1"/>
  <c r="A20" i="1"/>
  <c r="D5" i="5" s="1"/>
  <c r="AA6" i="5"/>
  <c r="B5" i="6"/>
  <c r="AA7" i="12"/>
  <c r="C7" i="8"/>
  <c r="C7" i="12"/>
  <c r="K21" i="4"/>
  <c r="D6" i="7"/>
  <c r="D6" i="8"/>
  <c r="G26" i="4"/>
  <c r="G31" i="4" s="1"/>
  <c r="C6" i="8"/>
  <c r="C6" i="12"/>
  <c r="C11" i="12" s="1"/>
  <c r="C6" i="7"/>
  <c r="H1" i="9"/>
  <c r="H1" i="7"/>
  <c r="H1" i="6"/>
  <c r="H1" i="5"/>
  <c r="H1" i="12"/>
  <c r="H1" i="8"/>
  <c r="M20" i="4"/>
  <c r="AA9" i="6"/>
  <c r="AA9" i="8"/>
  <c r="AA9" i="9"/>
  <c r="H1" i="4"/>
  <c r="C5" i="8"/>
  <c r="AA8" i="6"/>
  <c r="AA20" i="6" s="1"/>
  <c r="H3" i="6" s="1"/>
  <c r="C5" i="9"/>
  <c r="C5" i="6"/>
  <c r="C5" i="5"/>
  <c r="C5" i="7"/>
  <c r="C5" i="12"/>
  <c r="AA8" i="7"/>
  <c r="AA8" i="9"/>
  <c r="AA8" i="8"/>
  <c r="D6" i="12"/>
  <c r="C7" i="7"/>
  <c r="E26" i="4"/>
  <c r="B31" i="4"/>
  <c r="E7" i="9"/>
  <c r="E8" i="9" s="1"/>
  <c r="D31" i="4"/>
  <c r="E21" i="4"/>
  <c r="D5" i="6" l="1"/>
  <c r="D5" i="7"/>
  <c r="AA9" i="12"/>
  <c r="AA9" i="7"/>
  <c r="AA7" i="5"/>
  <c r="AA8" i="12"/>
  <c r="A19" i="4"/>
  <c r="A21" i="1"/>
  <c r="AA10" i="12" s="1"/>
  <c r="AA8" i="5"/>
  <c r="AA19" i="5" s="1"/>
  <c r="H3" i="5" s="1"/>
  <c r="D5" i="12"/>
  <c r="D5" i="8"/>
  <c r="A20" i="4"/>
  <c r="D5" i="9"/>
  <c r="H24" i="4"/>
  <c r="H29" i="4"/>
  <c r="H27" i="4"/>
  <c r="H28" i="4"/>
  <c r="H22" i="4"/>
  <c r="H23" i="4"/>
  <c r="H21" i="4"/>
  <c r="H26" i="4"/>
  <c r="H25" i="4"/>
  <c r="D7" i="7"/>
  <c r="D7" i="12"/>
  <c r="D7" i="8"/>
  <c r="D8" i="8" s="1"/>
  <c r="AA10" i="6"/>
  <c r="AA10" i="7"/>
  <c r="E5" i="9"/>
  <c r="E6" i="12"/>
  <c r="K22" i="4"/>
  <c r="E6" i="8"/>
  <c r="E6" i="7"/>
  <c r="D11" i="12"/>
  <c r="M21" i="4"/>
  <c r="C8" i="8"/>
  <c r="E5" i="5" l="1"/>
  <c r="AA10" i="8"/>
  <c r="E5" i="8"/>
  <c r="AA9" i="5"/>
  <c r="AA10" i="9"/>
  <c r="E5" i="6"/>
  <c r="E5" i="12"/>
  <c r="A22" i="1"/>
  <c r="F5" i="9" s="1"/>
  <c r="E5" i="7"/>
  <c r="A21" i="4"/>
  <c r="F6" i="8"/>
  <c r="F6" i="12"/>
  <c r="F6" i="7"/>
  <c r="K23" i="4"/>
  <c r="J8" i="6"/>
  <c r="L8" i="6"/>
  <c r="L8" i="12"/>
  <c r="L12" i="12" s="1"/>
  <c r="E8" i="7"/>
  <c r="E8" i="6"/>
  <c r="E8" i="12"/>
  <c r="E12" i="12" s="1"/>
  <c r="O21" i="4"/>
  <c r="H31" i="4"/>
  <c r="I31" i="4" s="1"/>
  <c r="K8" i="12"/>
  <c r="K12" i="12" s="1"/>
  <c r="K8" i="6"/>
  <c r="E7" i="8"/>
  <c r="E8" i="8" s="1"/>
  <c r="E7" i="12"/>
  <c r="E11" i="12" s="1"/>
  <c r="E7" i="7"/>
  <c r="M22" i="4"/>
  <c r="G8" i="6"/>
  <c r="G8" i="7"/>
  <c r="O23" i="4"/>
  <c r="G8" i="12" s="1"/>
  <c r="M8" i="12"/>
  <c r="M12" i="12" s="1"/>
  <c r="M8" i="6"/>
  <c r="F5" i="8"/>
  <c r="A23" i="1"/>
  <c r="F5" i="7"/>
  <c r="I8" i="6"/>
  <c r="O22" i="4"/>
  <c r="F8" i="12"/>
  <c r="F12" i="12" s="1"/>
  <c r="F8" i="6"/>
  <c r="F8" i="7"/>
  <c r="H8" i="6"/>
  <c r="O24" i="4"/>
  <c r="O25" i="4" s="1"/>
  <c r="H8" i="12"/>
  <c r="AA11" i="6" l="1"/>
  <c r="A22" i="4"/>
  <c r="F5" i="6"/>
  <c r="F5" i="12"/>
  <c r="AA10" i="5"/>
  <c r="AA11" i="9"/>
  <c r="AA20" i="9" s="1"/>
  <c r="H3" i="9" s="1"/>
  <c r="F5" i="5"/>
  <c r="AA11" i="8"/>
  <c r="AA11" i="12"/>
  <c r="AA11" i="7"/>
  <c r="I8" i="12"/>
  <c r="O26" i="4"/>
  <c r="I8" i="7"/>
  <c r="G12" i="12"/>
  <c r="G6" i="8"/>
  <c r="G6" i="12"/>
  <c r="G6" i="7"/>
  <c r="K24" i="4"/>
  <c r="H8" i="7"/>
  <c r="F7" i="7"/>
  <c r="F7" i="12"/>
  <c r="F11" i="12" s="1"/>
  <c r="M23" i="4"/>
  <c r="F7" i="8"/>
  <c r="F8" i="8" s="1"/>
  <c r="G5" i="12"/>
  <c r="AA12" i="9"/>
  <c r="AA12" i="8"/>
  <c r="AA11" i="5"/>
  <c r="G5" i="8"/>
  <c r="AA12" i="12"/>
  <c r="A24" i="1"/>
  <c r="G5" i="9"/>
  <c r="G5" i="5"/>
  <c r="AA12" i="7"/>
  <c r="AA12" i="6"/>
  <c r="G5" i="6"/>
  <c r="A23" i="4"/>
  <c r="G5" i="7"/>
  <c r="J8" i="12" l="1"/>
  <c r="O27" i="4"/>
  <c r="J8" i="7"/>
  <c r="AA12" i="5"/>
  <c r="H5" i="6"/>
  <c r="AA13" i="12"/>
  <c r="A24" i="4"/>
  <c r="H5" i="8"/>
  <c r="H5" i="12"/>
  <c r="A25" i="1"/>
  <c r="H5" i="5"/>
  <c r="AA13" i="7"/>
  <c r="AA13" i="9"/>
  <c r="AA13" i="6"/>
  <c r="H5" i="7"/>
  <c r="AA13" i="8"/>
  <c r="H5" i="9"/>
  <c r="G7" i="12"/>
  <c r="G11" i="12" s="1"/>
  <c r="M24" i="4"/>
  <c r="G7" i="7"/>
  <c r="G7" i="8"/>
  <c r="G8" i="8" s="1"/>
  <c r="H6" i="7"/>
  <c r="H6" i="8"/>
  <c r="H6" i="12"/>
  <c r="K25" i="4"/>
  <c r="AA14" i="7" l="1"/>
  <c r="I5" i="6"/>
  <c r="I5" i="5"/>
  <c r="AA13" i="5"/>
  <c r="I5" i="12"/>
  <c r="I5" i="9"/>
  <c r="AA14" i="12"/>
  <c r="AA14" i="8"/>
  <c r="AA20" i="8" s="1"/>
  <c r="H3" i="8" s="1"/>
  <c r="I5" i="7"/>
  <c r="AA14" i="9"/>
  <c r="A26" i="1"/>
  <c r="A25" i="4"/>
  <c r="I5" i="8"/>
  <c r="AA14" i="6"/>
  <c r="K8" i="7"/>
  <c r="O28" i="4"/>
  <c r="H7" i="7"/>
  <c r="M25" i="4"/>
  <c r="H7" i="8"/>
  <c r="H8" i="8" s="1"/>
  <c r="H7" i="12"/>
  <c r="K26" i="4"/>
  <c r="I6" i="12"/>
  <c r="I6" i="8"/>
  <c r="I6" i="7"/>
  <c r="H11" i="12"/>
  <c r="H12" i="12"/>
  <c r="I12" i="12" l="1"/>
  <c r="I7" i="8"/>
  <c r="I8" i="8" s="1"/>
  <c r="I7" i="12"/>
  <c r="I11" i="12" s="1"/>
  <c r="I7" i="7"/>
  <c r="M26" i="4"/>
  <c r="J5" i="12"/>
  <c r="AA14" i="5"/>
  <c r="AA15" i="9"/>
  <c r="A27" i="1"/>
  <c r="AA15" i="6"/>
  <c r="J5" i="5"/>
  <c r="J5" i="9"/>
  <c r="AA15" i="7"/>
  <c r="AA15" i="12"/>
  <c r="AA20" i="12" s="1"/>
  <c r="J5" i="7"/>
  <c r="AA15" i="8"/>
  <c r="J5" i="8"/>
  <c r="A26" i="4"/>
  <c r="J5" i="6"/>
  <c r="O29" i="4"/>
  <c r="M8" i="7" s="1"/>
  <c r="L8" i="7"/>
  <c r="J6" i="12"/>
  <c r="K27" i="4"/>
  <c r="J6" i="7"/>
  <c r="K28" i="4" l="1"/>
  <c r="K6" i="7"/>
  <c r="J12" i="12"/>
  <c r="K15" i="12" s="1"/>
  <c r="K16" i="12" s="1"/>
  <c r="E14" i="12"/>
  <c r="K14" i="12"/>
  <c r="AA15" i="5"/>
  <c r="A28" i="1"/>
  <c r="AA16" i="6"/>
  <c r="AA16" i="12"/>
  <c r="K5" i="5"/>
  <c r="K5" i="8"/>
  <c r="AA16" i="9"/>
  <c r="K5" i="7"/>
  <c r="K5" i="12"/>
  <c r="AA16" i="8"/>
  <c r="A27" i="4"/>
  <c r="K5" i="9"/>
  <c r="K5" i="6"/>
  <c r="AA16" i="7"/>
  <c r="J7" i="12"/>
  <c r="J11" i="12" s="1"/>
  <c r="E15" i="12" s="1"/>
  <c r="E16" i="12" s="1"/>
  <c r="J7" i="7"/>
  <c r="M27" i="4"/>
  <c r="M28" i="4" l="1"/>
  <c r="K7" i="7"/>
  <c r="AA17" i="6"/>
  <c r="L5" i="6"/>
  <c r="AA17" i="7"/>
  <c r="AA17" i="12"/>
  <c r="L5" i="9"/>
  <c r="A28" i="4"/>
  <c r="L5" i="7"/>
  <c r="L5" i="12"/>
  <c r="AA17" i="8"/>
  <c r="L5" i="8"/>
  <c r="A29" i="1"/>
  <c r="AA16" i="5"/>
  <c r="L5" i="5"/>
  <c r="AA17" i="9"/>
  <c r="L6" i="7"/>
  <c r="K29" i="4"/>
  <c r="M6" i="7" s="1"/>
  <c r="M5" i="6" l="1"/>
  <c r="A29" i="4"/>
  <c r="AA17" i="5"/>
  <c r="M5" i="7"/>
  <c r="AA18" i="7"/>
  <c r="AA20" i="7" s="1"/>
  <c r="H3" i="7" s="1"/>
  <c r="AA18" i="6"/>
  <c r="M5" i="8"/>
  <c r="M5" i="12"/>
  <c r="AA18" i="8"/>
  <c r="M5" i="9"/>
  <c r="AA18" i="9"/>
  <c r="M5" i="5"/>
  <c r="AA18" i="12"/>
  <c r="M29" i="4"/>
  <c r="M7" i="7" s="1"/>
  <c r="L7" i="7"/>
</calcChain>
</file>

<file path=xl/sharedStrings.xml><?xml version="1.0" encoding="utf-8"?>
<sst xmlns="http://schemas.openxmlformats.org/spreadsheetml/2006/main" count="131" uniqueCount="84">
  <si>
    <t>DATEN EINGABE</t>
  </si>
  <si>
    <t>Jahr:</t>
  </si>
  <si>
    <t>Firma:</t>
  </si>
  <si>
    <t>Berichtswährung:</t>
  </si>
  <si>
    <t>Meulenburger &amp; Trapp KG</t>
  </si>
  <si>
    <t>SF</t>
  </si>
  <si>
    <t>Jahr ab:</t>
  </si>
  <si>
    <t>PLAN-UMSATZ</t>
  </si>
  <si>
    <t>IST-UMSATZ</t>
  </si>
  <si>
    <t>PLAN auflaufend</t>
  </si>
  <si>
    <t>IST auflaufend</t>
  </si>
  <si>
    <t>Total</t>
  </si>
  <si>
    <t>Trend</t>
  </si>
  <si>
    <t>Trend auflaufend</t>
  </si>
  <si>
    <t>UMSATZ TREND</t>
  </si>
  <si>
    <t>Trend-Schätzer</t>
  </si>
  <si>
    <t>Wert</t>
  </si>
  <si>
    <t>Umsatzentwicklung pro Monat</t>
  </si>
  <si>
    <t>Ist</t>
  </si>
  <si>
    <t>Plan</t>
  </si>
  <si>
    <t>Plan - Ist - Trend</t>
  </si>
  <si>
    <t>Umsatzentwicklung auflaufend</t>
  </si>
  <si>
    <t>Planabweichung auflaufend</t>
  </si>
  <si>
    <t>Abw.</t>
  </si>
  <si>
    <t>Planabweichung pro Monat</t>
  </si>
  <si>
    <t>Bitte tragen Sie Ihre Daten in die gelben Felder (PLAN-DATEN) und blauen Felder (IST-DATEN) ein.  Die Demo-Daten dienen der Orientierung.</t>
  </si>
  <si>
    <t xml:space="preserve">WILLKOMMEN !   BIENVENUE!   WELCOME!    </t>
  </si>
  <si>
    <t>To the World of Magic Workbooks ®</t>
  </si>
  <si>
    <t>Er enthält keine Makros (die beim Laden Virenwarnungen abgeben),</t>
  </si>
  <si>
    <t>er erfordert keine umfangreichen Excel-Kenntnisse und keine</t>
  </si>
  <si>
    <t>Programmierkenntnisse.</t>
  </si>
  <si>
    <t>1. Schritt</t>
  </si>
  <si>
    <t>Daten den Erläuterungen entsprechend eingeben bzw.</t>
  </si>
  <si>
    <t>die Demo-Daten mit Ihren eigenen Daten überschreiben.</t>
  </si>
  <si>
    <t>2. Schritt</t>
  </si>
  <si>
    <t>Das war's auch schon.  Alle Auswertungen stehen ab der ersten Dateneingabe zur Verfügung!</t>
  </si>
  <si>
    <t>Viel Erfolg wünscht</t>
  </si>
  <si>
    <r>
      <t>das</t>
    </r>
    <r>
      <rPr>
        <b/>
        <sz val="12"/>
        <color indexed="16"/>
        <rFont val="Arial"/>
        <family val="2"/>
      </rPr>
      <t xml:space="preserve"> MagicWorkbooks</t>
    </r>
    <r>
      <rPr>
        <b/>
        <sz val="12"/>
        <color indexed="61"/>
        <rFont val="Arial"/>
        <family val="2"/>
      </rPr>
      <t xml:space="preserve"> </t>
    </r>
    <r>
      <rPr>
        <b/>
        <sz val="12"/>
        <rFont val="Arial"/>
        <family val="2"/>
      </rPr>
      <t>Team</t>
    </r>
  </si>
  <si>
    <t>Hier ist das Tool, mit sich einfach, aber wirkungsvoll der Jahresumsatz</t>
  </si>
  <si>
    <t>darstellen und präsentieren lässt.</t>
  </si>
  <si>
    <t>Plan-Umsatz</t>
  </si>
  <si>
    <t>Ist-Umsatz</t>
  </si>
  <si>
    <r>
      <t xml:space="preserve">Blatt </t>
    </r>
    <r>
      <rPr>
        <b/>
        <sz val="11"/>
        <color indexed="16"/>
        <rFont val="Arial"/>
        <family val="2"/>
      </rPr>
      <t>DATA</t>
    </r>
    <r>
      <rPr>
        <b/>
        <sz val="11"/>
        <rFont val="Arial"/>
        <family val="2"/>
      </rPr>
      <t xml:space="preserve"> anklicken</t>
    </r>
  </si>
  <si>
    <t>die Daten angezeigt werden sollen.</t>
  </si>
  <si>
    <t>sowie Planabweichung.</t>
  </si>
  <si>
    <t>Trend-Hochrechnung (durchschnittliche Planabweichung der Vormonate)</t>
  </si>
  <si>
    <r>
      <t xml:space="preserve">Auswertungsblätter ( </t>
    </r>
    <r>
      <rPr>
        <b/>
        <i/>
        <sz val="12"/>
        <color indexed="16"/>
        <rFont val="Arial"/>
        <family val="2"/>
      </rPr>
      <t>UmsatzMonat</t>
    </r>
    <r>
      <rPr>
        <b/>
        <sz val="11"/>
        <rFont val="Arial"/>
        <family val="2"/>
      </rPr>
      <t xml:space="preserve"> usw. ) anklicken.</t>
    </r>
  </si>
  <si>
    <t xml:space="preserve">in der Monatsleiste anklicken, für welchen oder bis zu welchem Monat </t>
  </si>
  <si>
    <t>Sales Checker</t>
  </si>
  <si>
    <r>
      <t>SalesChecker</t>
    </r>
    <r>
      <rPr>
        <b/>
        <sz val="10"/>
        <rFont val="Arial"/>
        <family val="2"/>
      </rPr>
      <t xml:space="preserve"> zeigt monatlich und auflaufend:</t>
    </r>
  </si>
  <si>
    <r>
      <t>SalesChecker</t>
    </r>
    <r>
      <rPr>
        <b/>
        <sz val="10"/>
        <rFont val="Arial"/>
        <family val="2"/>
      </rPr>
      <t xml:space="preserve"> wurde als Excel Arbeitsmappe entwickelt. </t>
    </r>
  </si>
  <si>
    <r>
      <t xml:space="preserve">Wie benutze ich </t>
    </r>
    <r>
      <rPr>
        <b/>
        <i/>
        <sz val="14"/>
        <color indexed="16"/>
        <rFont val="Arial"/>
        <family val="2"/>
      </rPr>
      <t>SalesChecker</t>
    </r>
    <r>
      <rPr>
        <b/>
        <sz val="14"/>
        <rFont val="Arial"/>
        <family val="2"/>
      </rPr>
      <t>?</t>
    </r>
  </si>
  <si>
    <t>Blattbezeichnung</t>
  </si>
  <si>
    <t>Art</t>
  </si>
  <si>
    <t>Beschreibung</t>
  </si>
  <si>
    <t>click to go!</t>
  </si>
  <si>
    <t>WELCOME</t>
  </si>
  <si>
    <t>Einleitung/Übersicht</t>
  </si>
  <si>
    <t>&amp;</t>
  </si>
  <si>
    <t>Tabelle</t>
  </si>
  <si>
    <t>Survey</t>
  </si>
  <si>
    <t>Grafik</t>
  </si>
  <si>
    <t>Inhalt</t>
  </si>
  <si>
    <t>SALES CHECKER</t>
  </si>
  <si>
    <t>DATA</t>
  </si>
  <si>
    <t xml:space="preserve">Dateneingabe </t>
  </si>
  <si>
    <t>Übersicht Umsatz, Plan-Umsatz, Trend</t>
  </si>
  <si>
    <t>UmsatzMonat</t>
  </si>
  <si>
    <t>TrendMonat</t>
  </si>
  <si>
    <t>TrendJahr</t>
  </si>
  <si>
    <t>AbweichungMonat</t>
  </si>
  <si>
    <t>AbweichungJahr</t>
  </si>
  <si>
    <t>Ist Umsatz pro Monat</t>
  </si>
  <si>
    <t>Plan, Ist, Trend auflaufend</t>
  </si>
  <si>
    <t>Plan, Ist, Trend pro Monat</t>
  </si>
  <si>
    <t>Planabweichung Jahr</t>
  </si>
  <si>
    <t>Sell me more!</t>
  </si>
  <si>
    <r>
      <t xml:space="preserve">Das Hyperlink-Inhaltsverzeichnis </t>
    </r>
    <r>
      <rPr>
        <b/>
        <sz val="12"/>
        <color indexed="12"/>
        <rFont val="Arial"/>
        <family val="2"/>
      </rPr>
      <t>Navigation</t>
    </r>
    <r>
      <rPr>
        <b/>
        <sz val="12"/>
        <rFont val="Arial"/>
        <family val="2"/>
      </rPr>
      <t xml:space="preserve"> lotst Sie schnell zu den einzelnen Blättern.</t>
    </r>
  </si>
  <si>
    <t>in % von Jahresplan</t>
  </si>
  <si>
    <t>offen</t>
  </si>
  <si>
    <t>JahrOffen</t>
  </si>
  <si>
    <t>Planabweichung Jahr  Tortengrafik</t>
  </si>
  <si>
    <t>aktueller Monat:</t>
  </si>
  <si>
    <t>info@magicworkbooks.com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</si>
</sst>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5" formatCode="#,##0_ ;\-#,##0\ "/>
    <numFmt numFmtId="200" formatCode=";;;"/>
  </numFmts>
  <fonts count="5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i/>
      <sz val="9"/>
      <color indexed="12"/>
      <name val="Arial"/>
      <family val="2"/>
    </font>
    <font>
      <sz val="8"/>
      <color indexed="12"/>
      <name val="Arial"/>
      <family val="2"/>
    </font>
    <font>
      <i/>
      <sz val="10"/>
      <color indexed="53"/>
      <name val="Arial"/>
      <family val="2"/>
    </font>
    <font>
      <i/>
      <sz val="7"/>
      <name val="Arial"/>
      <family val="2"/>
    </font>
    <font>
      <sz val="7"/>
      <color indexed="10"/>
      <name val="Arial"/>
      <family val="2"/>
    </font>
    <font>
      <sz val="14"/>
      <color indexed="13"/>
      <name val="Arial"/>
      <family val="2"/>
    </font>
    <font>
      <b/>
      <sz val="18"/>
      <color indexed="13"/>
      <name val="Arial"/>
      <family val="2"/>
    </font>
    <font>
      <sz val="10"/>
      <color indexed="13"/>
      <name val="Arial"/>
      <family val="2"/>
    </font>
    <font>
      <u/>
      <sz val="8"/>
      <color indexed="12"/>
      <name val="Arial"/>
      <family val="2"/>
    </font>
    <font>
      <b/>
      <sz val="18"/>
      <color indexed="43"/>
      <name val="Arial"/>
      <family val="2"/>
    </font>
    <font>
      <b/>
      <sz val="20"/>
      <color indexed="43"/>
      <name val="Arial"/>
      <family val="2"/>
    </font>
    <font>
      <b/>
      <sz val="16"/>
      <color indexed="16"/>
      <name val="Arial"/>
      <family val="2"/>
    </font>
    <font>
      <b/>
      <i/>
      <sz val="18"/>
      <color indexed="16"/>
      <name val="Arial"/>
      <family val="2"/>
    </font>
    <font>
      <b/>
      <i/>
      <sz val="12"/>
      <color indexed="53"/>
      <name val="Arial"/>
      <family val="2"/>
    </font>
    <font>
      <b/>
      <i/>
      <sz val="11"/>
      <color indexed="16"/>
      <name val="Arial"/>
      <family val="2"/>
    </font>
    <font>
      <b/>
      <i/>
      <sz val="14"/>
      <color indexed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b/>
      <sz val="12"/>
      <color indexed="61"/>
      <name val="Arial"/>
      <family val="2"/>
    </font>
    <font>
      <b/>
      <sz val="8"/>
      <color indexed="16"/>
      <name val="Arial"/>
      <family val="2"/>
    </font>
    <font>
      <b/>
      <i/>
      <sz val="12"/>
      <name val="Arial"/>
      <family val="2"/>
    </font>
    <font>
      <b/>
      <i/>
      <sz val="12"/>
      <color indexed="16"/>
      <name val="Arial"/>
      <family val="2"/>
    </font>
    <font>
      <b/>
      <sz val="14"/>
      <color indexed="13"/>
      <name val="Arial"/>
      <family val="2"/>
    </font>
    <font>
      <b/>
      <i/>
      <sz val="14"/>
      <color indexed="15"/>
      <name val="Arial"/>
      <family val="2"/>
    </font>
    <font>
      <b/>
      <i/>
      <sz val="10"/>
      <color indexed="16"/>
      <name val="Arial"/>
      <family val="2"/>
    </font>
    <font>
      <b/>
      <i/>
      <sz val="10"/>
      <name val="Arial"/>
      <family val="2"/>
    </font>
    <font>
      <sz val="28"/>
      <color indexed="16"/>
      <name val="Wingdings"/>
      <charset val="2"/>
    </font>
    <font>
      <b/>
      <sz val="8"/>
      <color indexed="60"/>
      <name val="Arial"/>
      <family val="2"/>
    </font>
    <font>
      <b/>
      <i/>
      <sz val="16"/>
      <color indexed="51"/>
      <name val="Arial"/>
      <family val="2"/>
    </font>
    <font>
      <sz val="22"/>
      <name val="Wingdings"/>
      <charset val="2"/>
    </font>
    <font>
      <b/>
      <i/>
      <sz val="11"/>
      <name val="Arial"/>
      <family val="2"/>
    </font>
    <font>
      <sz val="8"/>
      <color indexed="41"/>
      <name val="Arial"/>
      <family val="2"/>
    </font>
    <font>
      <sz val="10"/>
      <color indexed="41"/>
      <name val="Arial"/>
      <family val="2"/>
    </font>
    <font>
      <b/>
      <i/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55"/>
      </right>
      <top style="thin">
        <color indexed="55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64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8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17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/>
    <xf numFmtId="0" fontId="2" fillId="0" borderId="0" xfId="0" applyFont="1"/>
    <xf numFmtId="165" fontId="2" fillId="3" borderId="1" xfId="0" applyNumberFormat="1" applyFont="1" applyFill="1" applyBorder="1"/>
    <xf numFmtId="0" fontId="2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14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/>
    <xf numFmtId="165" fontId="2" fillId="0" borderId="1" xfId="0" applyNumberFormat="1" applyFont="1" applyBorder="1"/>
    <xf numFmtId="165" fontId="2" fillId="0" borderId="0" xfId="0" applyNumberFormat="1" applyFont="1"/>
    <xf numFmtId="9" fontId="2" fillId="0" borderId="1" xfId="4" applyFont="1" applyFill="1" applyBorder="1"/>
    <xf numFmtId="165" fontId="2" fillId="0" borderId="1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17" fontId="6" fillId="0" borderId="0" xfId="0" applyNumberFormat="1" applyFont="1"/>
    <xf numFmtId="1" fontId="6" fillId="0" borderId="0" xfId="0" applyNumberFormat="1" applyFont="1"/>
    <xf numFmtId="1" fontId="3" fillId="0" borderId="0" xfId="0" applyNumberFormat="1" applyFont="1"/>
    <xf numFmtId="0" fontId="3" fillId="0" borderId="0" xfId="0" applyFont="1" applyFill="1"/>
    <xf numFmtId="17" fontId="3" fillId="0" borderId="0" xfId="0" applyNumberFormat="1" applyFont="1"/>
    <xf numFmtId="0" fontId="3" fillId="0" borderId="0" xfId="0" applyNumberFormat="1" applyFont="1" applyFill="1"/>
    <xf numFmtId="0" fontId="7" fillId="0" borderId="0" xfId="0" applyFont="1" applyFill="1" applyBorder="1"/>
    <xf numFmtId="0" fontId="7" fillId="0" borderId="0" xfId="0" applyFont="1"/>
    <xf numFmtId="17" fontId="8" fillId="0" borderId="5" xfId="0" applyNumberFormat="1" applyFont="1" applyBorder="1"/>
    <xf numFmtId="3" fontId="8" fillId="0" borderId="6" xfId="0" applyNumberFormat="1" applyFont="1" applyBorder="1"/>
    <xf numFmtId="0" fontId="5" fillId="0" borderId="0" xfId="0" applyFont="1" applyFill="1"/>
    <xf numFmtId="0" fontId="5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/>
    </xf>
    <xf numFmtId="17" fontId="8" fillId="0" borderId="7" xfId="0" applyNumberFormat="1" applyFont="1" applyBorder="1"/>
    <xf numFmtId="3" fontId="8" fillId="0" borderId="8" xfId="0" applyNumberFormat="1" applyFont="1" applyBorder="1"/>
    <xf numFmtId="0" fontId="3" fillId="0" borderId="9" xfId="0" applyFont="1" applyBorder="1"/>
    <xf numFmtId="0" fontId="8" fillId="0" borderId="10" xfId="0" applyFont="1" applyBorder="1"/>
    <xf numFmtId="0" fontId="8" fillId="0" borderId="1" xfId="0" applyFont="1" applyBorder="1"/>
    <xf numFmtId="0" fontId="8" fillId="0" borderId="2" xfId="0" applyFont="1" applyBorder="1"/>
    <xf numFmtId="3" fontId="8" fillId="0" borderId="10" xfId="0" applyNumberFormat="1" applyFont="1" applyBorder="1"/>
    <xf numFmtId="17" fontId="8" fillId="0" borderId="11" xfId="0" applyNumberFormat="1" applyFont="1" applyBorder="1"/>
    <xf numFmtId="17" fontId="8" fillId="0" borderId="12" xfId="0" applyNumberFormat="1" applyFont="1" applyBorder="1"/>
    <xf numFmtId="17" fontId="8" fillId="0" borderId="13" xfId="0" applyNumberFormat="1" applyFont="1" applyBorder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 applyBorder="1"/>
    <xf numFmtId="0" fontId="14" fillId="0" borderId="0" xfId="0" applyFont="1"/>
    <xf numFmtId="0" fontId="13" fillId="0" borderId="0" xfId="0" applyFont="1" applyFill="1" applyBorder="1" applyAlignment="1">
      <alignment horizontal="center"/>
    </xf>
    <xf numFmtId="0" fontId="16" fillId="4" borderId="0" xfId="0" applyFont="1" applyFill="1"/>
    <xf numFmtId="0" fontId="17" fillId="4" borderId="0" xfId="0" applyFont="1" applyFill="1"/>
    <xf numFmtId="0" fontId="19" fillId="5" borderId="14" xfId="0" applyFont="1" applyFill="1" applyBorder="1" applyAlignment="1" applyProtection="1">
      <alignment horizontal="center"/>
      <protection hidden="1"/>
    </xf>
    <xf numFmtId="0" fontId="20" fillId="5" borderId="15" xfId="0" applyFont="1" applyFill="1" applyBorder="1" applyAlignment="1" applyProtection="1">
      <alignment horizontal="center"/>
      <protection hidden="1"/>
    </xf>
    <xf numFmtId="0" fontId="21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6" fillId="6" borderId="16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7" fillId="6" borderId="16" xfId="0" applyFont="1" applyFill="1" applyBorder="1" applyAlignment="1">
      <alignment horizontal="center"/>
    </xf>
    <xf numFmtId="0" fontId="29" fillId="0" borderId="16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6" fillId="5" borderId="0" xfId="0" applyFont="1" applyFill="1" applyAlignment="1">
      <alignment vertical="center"/>
    </xf>
    <xf numFmtId="0" fontId="3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7" fillId="5" borderId="0" xfId="0" applyFont="1" applyFill="1" applyAlignment="1">
      <alignment horizontal="right" vertical="center"/>
    </xf>
    <xf numFmtId="0" fontId="38" fillId="0" borderId="18" xfId="0" applyFont="1" applyBorder="1"/>
    <xf numFmtId="0" fontId="39" fillId="0" borderId="0" xfId="0" applyFont="1" applyFill="1" applyAlignment="1">
      <alignment horizontal="center"/>
    </xf>
    <xf numFmtId="0" fontId="39" fillId="0" borderId="0" xfId="0" applyFont="1"/>
    <xf numFmtId="0" fontId="38" fillId="7" borderId="0" xfId="0" applyFont="1" applyFill="1" applyAlignment="1">
      <alignment vertical="center"/>
    </xf>
    <xf numFmtId="0" fontId="40" fillId="6" borderId="19" xfId="2" applyNumberFormat="1" applyFont="1" applyFill="1" applyBorder="1" applyAlignment="1" applyProtection="1">
      <alignment horizontal="center" vertical="center"/>
    </xf>
    <xf numFmtId="0" fontId="38" fillId="6" borderId="20" xfId="0" applyFont="1" applyFill="1" applyBorder="1" applyAlignment="1">
      <alignment vertical="center"/>
    </xf>
    <xf numFmtId="0" fontId="38" fillId="6" borderId="21" xfId="0" applyFont="1" applyFill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41" fillId="8" borderId="22" xfId="2" applyFont="1" applyFill="1" applyBorder="1" applyAlignment="1" applyProtection="1"/>
    <xf numFmtId="0" fontId="42" fillId="5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Fill="1" applyBorder="1"/>
    <xf numFmtId="0" fontId="43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right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right"/>
    </xf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/>
    </xf>
    <xf numFmtId="9" fontId="8" fillId="0" borderId="1" xfId="4" applyFont="1" applyBorder="1"/>
    <xf numFmtId="9" fontId="8" fillId="0" borderId="23" xfId="4" applyFont="1" applyBorder="1"/>
    <xf numFmtId="9" fontId="8" fillId="0" borderId="24" xfId="4" applyFont="1" applyBorder="1"/>
    <xf numFmtId="9" fontId="8" fillId="0" borderId="25" xfId="4" applyFont="1" applyBorder="1"/>
    <xf numFmtId="0" fontId="45" fillId="9" borderId="26" xfId="0" applyFont="1" applyFill="1" applyBorder="1"/>
    <xf numFmtId="17" fontId="46" fillId="9" borderId="27" xfId="0" applyNumberFormat="1" applyFont="1" applyFill="1" applyBorder="1"/>
    <xf numFmtId="1" fontId="3" fillId="3" borderId="26" xfId="0" applyNumberFormat="1" applyFont="1" applyFill="1" applyBorder="1"/>
    <xf numFmtId="17" fontId="1" fillId="3" borderId="27" xfId="0" applyNumberFormat="1" applyFont="1" applyFill="1" applyBorder="1"/>
    <xf numFmtId="1" fontId="3" fillId="0" borderId="28" xfId="0" applyNumberFormat="1" applyFont="1" applyBorder="1"/>
    <xf numFmtId="9" fontId="3" fillId="0" borderId="29" xfId="4" applyFont="1" applyBorder="1"/>
    <xf numFmtId="0" fontId="3" fillId="0" borderId="30" xfId="0" applyFont="1" applyBorder="1"/>
    <xf numFmtId="9" fontId="3" fillId="0" borderId="31" xfId="0" applyNumberFormat="1" applyFont="1" applyBorder="1"/>
    <xf numFmtId="1" fontId="3" fillId="0" borderId="3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1" fontId="3" fillId="0" borderId="0" xfId="0" applyNumberFormat="1" applyFont="1" applyBorder="1"/>
    <xf numFmtId="0" fontId="13" fillId="0" borderId="0" xfId="0" applyFont="1" applyAlignment="1">
      <alignment horizontal="right"/>
    </xf>
    <xf numFmtId="17" fontId="47" fillId="0" borderId="0" xfId="0" applyNumberFormat="1" applyFont="1"/>
    <xf numFmtId="200" fontId="0" fillId="0" borderId="0" xfId="0" applyNumberFormat="1"/>
    <xf numFmtId="0" fontId="33" fillId="0" borderId="15" xfId="2" applyFont="1" applyBorder="1" applyAlignment="1" applyProtection="1">
      <alignment horizontal="center"/>
    </xf>
    <xf numFmtId="0" fontId="18" fillId="0" borderId="15" xfId="2" applyBorder="1" applyAlignment="1" applyProtection="1">
      <alignment horizontal="center"/>
    </xf>
    <xf numFmtId="0" fontId="15" fillId="4" borderId="0" xfId="0" applyFont="1" applyFill="1" applyAlignment="1">
      <alignment horizontal="left" vertical="center" wrapText="1"/>
    </xf>
  </cellXfs>
  <cellStyles count="6">
    <cellStyle name="Euro" xfId="1"/>
    <cellStyle name="Hyperlink 2" xfId="3"/>
    <cellStyle name="Link" xfId="2" builtinId="8"/>
    <cellStyle name="Prozent" xfId="4" builtinId="5"/>
    <cellStyle name="Standard" xfId="0" builtinId="0"/>
    <cellStyle name="Standard 2" xfId="5"/>
  </cellStyles>
  <dxfs count="3">
    <dxf>
      <font>
        <b val="0"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 val="0"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condense val="0"/>
        <extend val="0"/>
        <color indexed="16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4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6788961586771898E-2"/>
          <c:y val="1.4760174196001131E-2"/>
          <c:w val="0.91448672435155631"/>
          <c:h val="0.90037062595606898"/>
        </c:manualLayout>
      </c:layout>
      <c:area3DChart>
        <c:grouping val="standard"/>
        <c:varyColors val="0"/>
        <c:ser>
          <c:idx val="0"/>
          <c:order val="0"/>
          <c:tx>
            <c:strRef>
              <c:f>UmsatzMonat!$AA$6</c:f>
              <c:strCache>
                <c:ptCount val="1"/>
                <c:pt idx="0">
                  <c:v>Jan 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UmsatzMonat!$B$5:$M$5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UmsatzMonat!$B$6:$M$6</c:f>
              <c:numCache>
                <c:formatCode>#,##0</c:formatCode>
                <c:ptCount val="12"/>
                <c:pt idx="0">
                  <c:v>87354</c:v>
                </c:pt>
                <c:pt idx="1">
                  <c:v>93467</c:v>
                </c:pt>
                <c:pt idx="2">
                  <c:v>227174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690880"/>
        <c:axId val="625691664"/>
        <c:axId val="620595648"/>
      </c:area3DChart>
      <c:dateAx>
        <c:axId val="625690880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91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2569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90880"/>
        <c:crosses val="autoZero"/>
        <c:crossBetween val="midCat"/>
      </c:valAx>
      <c:serAx>
        <c:axId val="620595648"/>
        <c:scaling>
          <c:orientation val="minMax"/>
        </c:scaling>
        <c:delete val="1"/>
        <c:axPos val="b"/>
        <c:majorTickMark val="out"/>
        <c:minorTickMark val="none"/>
        <c:tickLblPos val="nextTo"/>
        <c:crossAx val="625691664"/>
        <c:crosses val="autoZero"/>
      </c:ser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4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837873122439101E-2"/>
          <c:y val="1.49813282030087E-2"/>
          <c:w val="0.91710916334112402"/>
          <c:h val="0.89887969218052211"/>
        </c:manualLayout>
      </c:layout>
      <c:area3DChart>
        <c:grouping val="standard"/>
        <c:varyColors val="0"/>
        <c:ser>
          <c:idx val="0"/>
          <c:order val="0"/>
          <c:tx>
            <c:strRef>
              <c:f>TrendMonat!$A$7</c:f>
              <c:strCache>
                <c:ptCount val="1"/>
                <c:pt idx="0">
                  <c:v>Ist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TrendMonat!$B$5:$M$5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TrendMonat!$B$7:$M$7</c:f>
              <c:numCache>
                <c:formatCode>#,##0</c:formatCode>
                <c:ptCount val="12"/>
                <c:pt idx="0">
                  <c:v>87354</c:v>
                </c:pt>
                <c:pt idx="1">
                  <c:v>93467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1"/>
          <c:tx>
            <c:strRef>
              <c:f>TrendMonat!$A$8</c:f>
              <c:strCache>
                <c:ptCount val="1"/>
                <c:pt idx="0">
                  <c:v>Trend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TrendMonat!$B$5:$M$5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TrendMonat!$B$8:$M$8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strRef>
              <c:f>TrendMonat!$A$6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TrendMonat!$B$5:$M$5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TrendMonat!$B$6:$M$6</c:f>
              <c:numCache>
                <c:formatCode>#,##0</c:formatCode>
                <c:ptCount val="12"/>
                <c:pt idx="0">
                  <c:v>70000</c:v>
                </c:pt>
                <c:pt idx="1">
                  <c:v>210000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625689704"/>
        <c:axId val="625690096"/>
        <c:axId val="620597768"/>
      </c:area3DChart>
      <c:dateAx>
        <c:axId val="625689704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90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2569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89704"/>
        <c:crosses val="autoZero"/>
        <c:crossBetween val="midCat"/>
      </c:valAx>
      <c:serAx>
        <c:axId val="620597768"/>
        <c:scaling>
          <c:orientation val="minMax"/>
        </c:scaling>
        <c:delete val="1"/>
        <c:axPos val="b"/>
        <c:majorTickMark val="out"/>
        <c:minorTickMark val="none"/>
        <c:tickLblPos val="nextTo"/>
        <c:crossAx val="62569009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792827035656972"/>
          <c:y val="0.91573410507691144"/>
          <c:w val="0.64639764040931025"/>
          <c:h val="6.4607007413401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4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8183573398185E-2"/>
          <c:y val="1.49813282030087E-2"/>
          <c:w val="0.90476346306537814"/>
          <c:h val="0.89887969218052211"/>
        </c:manualLayout>
      </c:layout>
      <c:area3DChart>
        <c:grouping val="standard"/>
        <c:varyColors val="0"/>
        <c:ser>
          <c:idx val="0"/>
          <c:order val="0"/>
          <c:tx>
            <c:strRef>
              <c:f>TrendJahr!$A$7</c:f>
              <c:strCache>
                <c:ptCount val="1"/>
                <c:pt idx="0">
                  <c:v>Ist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TrendJahr!$B$5:$M$5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TrendJahr!$B$7:$M$7</c:f>
              <c:numCache>
                <c:formatCode>#,##0</c:formatCode>
                <c:ptCount val="12"/>
                <c:pt idx="0">
                  <c:v>87354</c:v>
                </c:pt>
                <c:pt idx="1">
                  <c:v>180821</c:v>
                </c:pt>
                <c:pt idx="2">
                  <c:v>407995</c:v>
                </c:pt>
                <c:pt idx="3">
                  <c:v>407995</c:v>
                </c:pt>
                <c:pt idx="4">
                  <c:v>407995</c:v>
                </c:pt>
                <c:pt idx="5">
                  <c:v>407995</c:v>
                </c:pt>
                <c:pt idx="6">
                  <c:v>407995</c:v>
                </c:pt>
                <c:pt idx="7">
                  <c:v>407995</c:v>
                </c:pt>
                <c:pt idx="8">
                  <c:v>407995</c:v>
                </c:pt>
                <c:pt idx="9">
                  <c:v>407995</c:v>
                </c:pt>
                <c:pt idx="10">
                  <c:v>407995</c:v>
                </c:pt>
                <c:pt idx="11">
                  <c:v>407995</c:v>
                </c:pt>
              </c:numCache>
            </c:numRef>
          </c:val>
        </c:ser>
        <c:ser>
          <c:idx val="3"/>
          <c:order val="1"/>
          <c:tx>
            <c:strRef>
              <c:f>TrendJahr!$A$8</c:f>
              <c:strCache>
                <c:ptCount val="1"/>
                <c:pt idx="0">
                  <c:v>Trend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TrendJahr!$B$5:$M$5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TrendJahr!$B$8:$M$8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499602.2634920635</c:v>
                </c:pt>
                <c:pt idx="4">
                  <c:v>814810.05185185187</c:v>
                </c:pt>
                <c:pt idx="5">
                  <c:v>933012.97248677246</c:v>
                </c:pt>
                <c:pt idx="6">
                  <c:v>1011814.9195767195</c:v>
                </c:pt>
                <c:pt idx="7">
                  <c:v>1061066.1365079365</c:v>
                </c:pt>
                <c:pt idx="8">
                  <c:v>1277771.491005291</c:v>
                </c:pt>
                <c:pt idx="9">
                  <c:v>1524027.5756613757</c:v>
                </c:pt>
                <c:pt idx="10">
                  <c:v>1740732.9301587301</c:v>
                </c:pt>
                <c:pt idx="11">
                  <c:v>1844160.4857142856</c:v>
                </c:pt>
              </c:numCache>
            </c:numRef>
          </c:val>
        </c:ser>
        <c:ser>
          <c:idx val="1"/>
          <c:order val="2"/>
          <c:tx>
            <c:strRef>
              <c:f>TrendJahr!$A$6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TrendJahr!$B$5:$M$5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TrendJahr!$B$6:$M$6</c:f>
              <c:numCache>
                <c:formatCode>#,##0</c:formatCode>
                <c:ptCount val="12"/>
                <c:pt idx="0">
                  <c:v>70000</c:v>
                </c:pt>
                <c:pt idx="1">
                  <c:v>280000</c:v>
                </c:pt>
                <c:pt idx="2">
                  <c:v>460000</c:v>
                </c:pt>
                <c:pt idx="3">
                  <c:v>553000</c:v>
                </c:pt>
                <c:pt idx="4">
                  <c:v>873000</c:v>
                </c:pt>
                <c:pt idx="5">
                  <c:v>993000</c:v>
                </c:pt>
                <c:pt idx="6">
                  <c:v>1073000</c:v>
                </c:pt>
                <c:pt idx="7">
                  <c:v>1123000</c:v>
                </c:pt>
                <c:pt idx="8">
                  <c:v>1343000</c:v>
                </c:pt>
                <c:pt idx="9">
                  <c:v>1593000</c:v>
                </c:pt>
                <c:pt idx="10">
                  <c:v>1813000</c:v>
                </c:pt>
                <c:pt idx="11">
                  <c:v>1918000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625684608"/>
        <c:axId val="625689312"/>
        <c:axId val="620595224"/>
      </c:area3DChart>
      <c:dateAx>
        <c:axId val="625684608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893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2568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84608"/>
        <c:crosses val="autoZero"/>
        <c:crossBetween val="midCat"/>
      </c:valAx>
      <c:serAx>
        <c:axId val="6205952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568931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792827035656972"/>
          <c:y val="0.91573410507691144"/>
          <c:w val="0.64639764040931025"/>
          <c:h val="6.4607007413401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4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128887526330198E-2"/>
          <c:y val="1.49813282030087E-2"/>
          <c:w val="0.9118181489372329"/>
          <c:h val="0.89887969218052211"/>
        </c:manualLayout>
      </c:layout>
      <c:area3DChart>
        <c:grouping val="standard"/>
        <c:varyColors val="0"/>
        <c:ser>
          <c:idx val="3"/>
          <c:order val="0"/>
          <c:tx>
            <c:strRef>
              <c:f>AbweichungMonat!$A$8</c:f>
              <c:strCache>
                <c:ptCount val="1"/>
                <c:pt idx="0">
                  <c:v>Abw.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AbweichungMonat!$B$5:$M$5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AbweichungMonat!$B$8:$M$8</c:f>
              <c:numCache>
                <c:formatCode>#,##0</c:formatCode>
                <c:ptCount val="12"/>
                <c:pt idx="0">
                  <c:v>17354</c:v>
                </c:pt>
                <c:pt idx="1">
                  <c:v>-116533</c:v>
                </c:pt>
                <c:pt idx="2">
                  <c:v>47174</c:v>
                </c:pt>
                <c:pt idx="3">
                  <c:v>-93000</c:v>
                </c:pt>
                <c:pt idx="4">
                  <c:v>-320000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AbweichungMonat!$A$7</c:f>
              <c:strCache>
                <c:ptCount val="1"/>
                <c:pt idx="0">
                  <c:v>Ist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AbweichungMonat!$B$5:$M$5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AbweichungMonat!$B$7:$M$7</c:f>
              <c:numCache>
                <c:formatCode>#,##0</c:formatCode>
                <c:ptCount val="12"/>
                <c:pt idx="0">
                  <c:v>87354</c:v>
                </c:pt>
                <c:pt idx="1">
                  <c:v>93467</c:v>
                </c:pt>
                <c:pt idx="2">
                  <c:v>227174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strRef>
              <c:f>AbweichungMonat!$A$6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AbweichungMonat!$B$5:$M$5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AbweichungMonat!$B$6:$M$6</c:f>
              <c:numCache>
                <c:formatCode>#,##0</c:formatCode>
                <c:ptCount val="12"/>
                <c:pt idx="0">
                  <c:v>70000</c:v>
                </c:pt>
                <c:pt idx="1">
                  <c:v>210000</c:v>
                </c:pt>
                <c:pt idx="2">
                  <c:v>180000</c:v>
                </c:pt>
                <c:pt idx="3">
                  <c:v>93000</c:v>
                </c:pt>
                <c:pt idx="4">
                  <c:v>320000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625683432"/>
        <c:axId val="625683824"/>
        <c:axId val="622227976"/>
      </c:area3DChart>
      <c:dateAx>
        <c:axId val="625683432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8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2568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83432"/>
        <c:crosses val="autoZero"/>
        <c:crossBetween val="midCat"/>
      </c:valAx>
      <c:serAx>
        <c:axId val="622227976"/>
        <c:scaling>
          <c:orientation val="minMax"/>
        </c:scaling>
        <c:delete val="1"/>
        <c:axPos val="b"/>
        <c:majorTickMark val="out"/>
        <c:minorTickMark val="none"/>
        <c:tickLblPos val="nextTo"/>
        <c:crossAx val="62568382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792827035656972"/>
          <c:y val="0.91573410507691144"/>
          <c:w val="0.64639764040931025"/>
          <c:h val="6.4607007413401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4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9947244866148704E-2"/>
          <c:y val="1.49813282030087E-2"/>
          <c:w val="0.90299979159741439"/>
          <c:h val="0.89887969218052211"/>
        </c:manualLayout>
      </c:layout>
      <c:area3DChart>
        <c:grouping val="standard"/>
        <c:varyColors val="0"/>
        <c:ser>
          <c:idx val="3"/>
          <c:order val="0"/>
          <c:tx>
            <c:strRef>
              <c:f>AbweichungJahr!$A$8</c:f>
              <c:strCache>
                <c:ptCount val="1"/>
                <c:pt idx="0">
                  <c:v>Abw.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AbweichungJahr!$B$5:$M$5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AbweichungJahr!$B$8:$M$8</c:f>
              <c:numCache>
                <c:formatCode>#,##0</c:formatCode>
                <c:ptCount val="12"/>
                <c:pt idx="0">
                  <c:v>17354</c:v>
                </c:pt>
                <c:pt idx="1">
                  <c:v>-99179</c:v>
                </c:pt>
                <c:pt idx="2">
                  <c:v>-52005</c:v>
                </c:pt>
                <c:pt idx="3">
                  <c:v>-145005</c:v>
                </c:pt>
                <c:pt idx="4">
                  <c:v>-465005</c:v>
                </c:pt>
                <c:pt idx="5">
                  <c:v>-585005</c:v>
                </c:pt>
                <c:pt idx="6">
                  <c:v>-665005</c:v>
                </c:pt>
                <c:pt idx="7">
                  <c:v>-715005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AbweichungJahr!$A$7</c:f>
              <c:strCache>
                <c:ptCount val="1"/>
                <c:pt idx="0">
                  <c:v>Ist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AbweichungJahr!$B$5:$M$5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AbweichungJahr!$B$7:$M$7</c:f>
              <c:numCache>
                <c:formatCode>#,##0</c:formatCode>
                <c:ptCount val="12"/>
                <c:pt idx="0">
                  <c:v>87354</c:v>
                </c:pt>
                <c:pt idx="1">
                  <c:v>180821</c:v>
                </c:pt>
                <c:pt idx="2">
                  <c:v>407995</c:v>
                </c:pt>
                <c:pt idx="3">
                  <c:v>407995</c:v>
                </c:pt>
                <c:pt idx="4">
                  <c:v>407995</c:v>
                </c:pt>
                <c:pt idx="5">
                  <c:v>407995</c:v>
                </c:pt>
                <c:pt idx="6">
                  <c:v>407995</c:v>
                </c:pt>
                <c:pt idx="7">
                  <c:v>407995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strRef>
              <c:f>AbweichungJahr!$A$6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AbweichungJahr!$B$5:$M$5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AbweichungJahr!$B$6:$M$6</c:f>
              <c:numCache>
                <c:formatCode>#,##0</c:formatCode>
                <c:ptCount val="12"/>
                <c:pt idx="0">
                  <c:v>70000</c:v>
                </c:pt>
                <c:pt idx="1">
                  <c:v>280000</c:v>
                </c:pt>
                <c:pt idx="2">
                  <c:v>460000</c:v>
                </c:pt>
                <c:pt idx="3">
                  <c:v>553000</c:v>
                </c:pt>
                <c:pt idx="4">
                  <c:v>873000</c:v>
                </c:pt>
                <c:pt idx="5">
                  <c:v>993000</c:v>
                </c:pt>
                <c:pt idx="6">
                  <c:v>1073000</c:v>
                </c:pt>
                <c:pt idx="7">
                  <c:v>1123000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394162152"/>
        <c:axId val="394164112"/>
        <c:axId val="617049248"/>
      </c:area3DChart>
      <c:dateAx>
        <c:axId val="394162152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164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9416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162152"/>
        <c:crosses val="autoZero"/>
        <c:crossBetween val="midCat"/>
      </c:valAx>
      <c:serAx>
        <c:axId val="61704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39416411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792827035656972"/>
          <c:y val="0.91573410507691144"/>
          <c:w val="0.64639764040931025"/>
          <c:h val="6.4607007413401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1" u="none" strike="noStrike" baseline="0">
                <a:solidFill>
                  <a:srgbClr val="CC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IST   zu   Plan</a:t>
            </a:r>
          </a:p>
        </c:rich>
      </c:tx>
      <c:layout>
        <c:manualLayout>
          <c:xMode val="edge"/>
          <c:yMode val="edge"/>
          <c:x val="1.7006802721088437E-2"/>
          <c:y val="3.7815126050420166E-2"/>
        </c:manualLayout>
      </c:layout>
      <c:overlay val="0"/>
      <c:spPr>
        <a:solidFill>
          <a:srgbClr val="0000FF"/>
        </a:solidFill>
        <a:ln w="25400">
          <a:noFill/>
        </a:ln>
      </c:spPr>
    </c:title>
    <c:autoTitleDeleted val="0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0754513294913"/>
          <c:y val="0.23949628967036846"/>
          <c:w val="0.61904967530849841"/>
          <c:h val="0.61764832599200281"/>
        </c:manualLayout>
      </c:layout>
      <c:pie3DChart>
        <c:varyColors val="1"/>
        <c:ser>
          <c:idx val="0"/>
          <c:order val="0"/>
          <c:tx>
            <c:strRef>
              <c:f>JahrOffen!$E$14</c:f>
              <c:strCache>
                <c:ptCount val="1"/>
                <c:pt idx="0">
                  <c:v>Sep 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JahrOffen!$D$15:$D$16</c:f>
              <c:strCache>
                <c:ptCount val="2"/>
                <c:pt idx="0">
                  <c:v>Ist</c:v>
                </c:pt>
                <c:pt idx="1">
                  <c:v>offen</c:v>
                </c:pt>
              </c:strCache>
            </c:strRef>
          </c:cat>
          <c:val>
            <c:numRef>
              <c:f>JahrOffen!$E$15:$E$16</c:f>
              <c:numCache>
                <c:formatCode>0%</c:formatCode>
                <c:ptCount val="2"/>
                <c:pt idx="0">
                  <c:v>0.30379374534623976</c:v>
                </c:pt>
                <c:pt idx="1">
                  <c:v>0.69620625465376018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TREND   zu   Plan</a:t>
            </a:r>
          </a:p>
        </c:rich>
      </c:tx>
      <c:layout>
        <c:manualLayout>
          <c:xMode val="edge"/>
          <c:yMode val="edge"/>
          <c:x val="1.6286644951140065E-2"/>
          <c:y val="3.7815126050420166E-2"/>
        </c:manualLayout>
      </c:layout>
      <c:overlay val="0"/>
      <c:spPr>
        <a:solidFill>
          <a:srgbClr val="00FFFF"/>
        </a:solidFill>
        <a:ln w="25400">
          <a:noFill/>
        </a:ln>
      </c:spPr>
    </c:title>
    <c:autoTitleDeleted val="0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46938694362491"/>
          <c:y val="0.25210135754775626"/>
          <c:w val="0.57654814826596257"/>
          <c:h val="0.60084156882215245"/>
        </c:manualLayout>
      </c:layout>
      <c:pie3DChart>
        <c:varyColors val="1"/>
        <c:ser>
          <c:idx val="0"/>
          <c:order val="0"/>
          <c:tx>
            <c:strRef>
              <c:f>JahrOffen!$K$14</c:f>
              <c:strCache>
                <c:ptCount val="1"/>
                <c:pt idx="0">
                  <c:v>Sep 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9795406145857556"/>
                  <c:y val="-0.182288498835616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JahrOffen!$J$15:$J$16</c:f>
              <c:strCache>
                <c:ptCount val="2"/>
                <c:pt idx="0">
                  <c:v>Trend</c:v>
                </c:pt>
                <c:pt idx="1">
                  <c:v>offen</c:v>
                </c:pt>
              </c:strCache>
            </c:strRef>
          </c:cat>
          <c:val>
            <c:numRef>
              <c:f>JahrOffen!$K$15:$K$16</c:f>
              <c:numCache>
                <c:formatCode>0%</c:formatCode>
                <c:ptCount val="2"/>
                <c:pt idx="0">
                  <c:v>0.95143074535017946</c:v>
                </c:pt>
                <c:pt idx="1">
                  <c:v>4.8569254649820537E-2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List" dx="31" fmlaLink="$AA$4" fmlaRange="$AA$6:$AA$17" sel="3" val="0"/>
</file>

<file path=xl/ctrlProps/ctrlProp2.xml><?xml version="1.0" encoding="utf-8"?>
<formControlPr xmlns="http://schemas.microsoft.com/office/spreadsheetml/2009/9/main" objectType="List" dx="31" fmlaLink="$AA$4" fmlaRange="$AA$7:$AA$18" sel="2" val="0"/>
</file>

<file path=xl/ctrlProps/ctrlProp3.xml><?xml version="1.0" encoding="utf-8"?>
<formControlPr xmlns="http://schemas.microsoft.com/office/spreadsheetml/2009/9/main" objectType="List" dx="31" fmlaLink="$AA$4" fmlaRange="$AA$7:$AA$18" sel="12" val="0"/>
</file>

<file path=xl/ctrlProps/ctrlProp4.xml><?xml version="1.0" encoding="utf-8"?>
<formControlPr xmlns="http://schemas.microsoft.com/office/spreadsheetml/2009/9/main" objectType="List" dx="31" fmlaLink="$AA$4" fmlaRange="$AA$7:$AA$18" sel="5" val="0"/>
</file>

<file path=xl/ctrlProps/ctrlProp5.xml><?xml version="1.0" encoding="utf-8"?>
<formControlPr xmlns="http://schemas.microsoft.com/office/spreadsheetml/2009/9/main" objectType="List" dx="31" fmlaLink="$AA$4" fmlaRange="$AA$7:$AA$18" sel="8" val="0"/>
</file>

<file path=xl/ctrlProps/ctrlProp6.xml><?xml version="1.0" encoding="utf-8"?>
<formControlPr xmlns="http://schemas.microsoft.com/office/spreadsheetml/2009/9/main" objectType="List" dx="31" fmlaLink="$AA$4" fmlaRange="$AA$7:$AA$18" sel="9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40</xdr:row>
      <xdr:rowOff>28575</xdr:rowOff>
    </xdr:from>
    <xdr:to>
      <xdr:col>0</xdr:col>
      <xdr:colOff>7026275</xdr:colOff>
      <xdr:row>40</xdr:row>
      <xdr:rowOff>485775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28575" y="8305800"/>
          <a:ext cx="6686550" cy="457200"/>
        </a:xfrm>
        <a:prstGeom prst="rect">
          <a:avLst/>
        </a:prstGeom>
        <a:gradFill rotWithShape="1">
          <a:gsLst>
            <a:gs pos="0">
              <a:srgbClr val="FF6600"/>
            </a:gs>
            <a:gs pos="100000">
              <a:srgbClr val="FFFF99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de-DE" sz="1200" b="1" i="1" strike="noStrike">
              <a:solidFill>
                <a:srgbClr val="000000"/>
              </a:solidFill>
              <a:latin typeface="Arial"/>
              <a:cs typeface="Arial"/>
            </a:rPr>
            <a:t>MAGICWORKBOOK HILFE:</a:t>
          </a:r>
        </a:p>
        <a:p>
          <a:pPr algn="ctr" rtl="1">
            <a:defRPr sz="1000"/>
          </a:pPr>
          <a:r>
            <a:rPr lang="de-DE" sz="1200" b="1" i="1" strike="noStrike">
              <a:solidFill>
                <a:srgbClr val="000000"/>
              </a:solidFill>
              <a:latin typeface="Arial"/>
              <a:cs typeface="Arial"/>
            </a:rPr>
            <a:t>einfach auf die Adresse klicken und Email senden!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6</xdr:row>
      <xdr:rowOff>82550</xdr:rowOff>
    </xdr:from>
    <xdr:to>
      <xdr:col>13</xdr:col>
      <xdr:colOff>31750</xdr:colOff>
      <xdr:row>24</xdr:row>
      <xdr:rowOff>31750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0</xdr:row>
          <xdr:rowOff>114300</xdr:rowOff>
        </xdr:from>
        <xdr:to>
          <xdr:col>14</xdr:col>
          <xdr:colOff>838200</xdr:colOff>
          <xdr:row>13</xdr:row>
          <xdr:rowOff>6350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8</xdr:row>
      <xdr:rowOff>101600</xdr:rowOff>
    </xdr:from>
    <xdr:to>
      <xdr:col>12</xdr:col>
      <xdr:colOff>438150</xdr:colOff>
      <xdr:row>26</xdr:row>
      <xdr:rowOff>57150</xdr:rowOff>
    </xdr:to>
    <xdr:graphicFrame macro="">
      <xdr:nvGraphicFramePr>
        <xdr:cNvPr id="2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0</xdr:row>
          <xdr:rowOff>88900</xdr:rowOff>
        </xdr:from>
        <xdr:to>
          <xdr:col>14</xdr:col>
          <xdr:colOff>882650</xdr:colOff>
          <xdr:row>12</xdr:row>
          <xdr:rowOff>69850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8</xdr:row>
      <xdr:rowOff>101600</xdr:rowOff>
    </xdr:from>
    <xdr:to>
      <xdr:col>12</xdr:col>
      <xdr:colOff>438150</xdr:colOff>
      <xdr:row>26</xdr:row>
      <xdr:rowOff>57150</xdr:rowOff>
    </xdr:to>
    <xdr:graphicFrame macro="">
      <xdr:nvGraphicFramePr>
        <xdr:cNvPr id="30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0</xdr:row>
          <xdr:rowOff>88900</xdr:rowOff>
        </xdr:from>
        <xdr:to>
          <xdr:col>14</xdr:col>
          <xdr:colOff>914400</xdr:colOff>
          <xdr:row>12</xdr:row>
          <xdr:rowOff>69850</xdr:rowOff>
        </xdr:to>
        <xdr:sp macro="" textlink="">
          <xdr:nvSpPr>
            <xdr:cNvPr id="3073" name="List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8</xdr:row>
      <xdr:rowOff>101600</xdr:rowOff>
    </xdr:from>
    <xdr:to>
      <xdr:col>12</xdr:col>
      <xdr:colOff>438150</xdr:colOff>
      <xdr:row>26</xdr:row>
      <xdr:rowOff>57150</xdr:rowOff>
    </xdr:to>
    <xdr:graphicFrame macro="">
      <xdr:nvGraphicFramePr>
        <xdr:cNvPr id="51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0</xdr:row>
          <xdr:rowOff>88900</xdr:rowOff>
        </xdr:from>
        <xdr:to>
          <xdr:col>14</xdr:col>
          <xdr:colOff>882650</xdr:colOff>
          <xdr:row>12</xdr:row>
          <xdr:rowOff>69850</xdr:rowOff>
        </xdr:to>
        <xdr:sp macro="" textlink="">
          <xdr:nvSpPr>
            <xdr:cNvPr id="5121" name="List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8</xdr:row>
      <xdr:rowOff>101600</xdr:rowOff>
    </xdr:from>
    <xdr:to>
      <xdr:col>12</xdr:col>
      <xdr:colOff>438150</xdr:colOff>
      <xdr:row>26</xdr:row>
      <xdr:rowOff>57150</xdr:rowOff>
    </xdr:to>
    <xdr:graphicFrame macro="">
      <xdr:nvGraphicFramePr>
        <xdr:cNvPr id="41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0</xdr:row>
          <xdr:rowOff>88900</xdr:rowOff>
        </xdr:from>
        <xdr:to>
          <xdr:col>14</xdr:col>
          <xdr:colOff>920750</xdr:colOff>
          <xdr:row>12</xdr:row>
          <xdr:rowOff>69850</xdr:rowOff>
        </xdr:to>
        <xdr:sp macro="" textlink="">
          <xdr:nvSpPr>
            <xdr:cNvPr id="4097" name="List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82550</xdr:rowOff>
    </xdr:from>
    <xdr:to>
      <xdr:col>6</xdr:col>
      <xdr:colOff>349250</xdr:colOff>
      <xdr:row>33</xdr:row>
      <xdr:rowOff>69850</xdr:rowOff>
    </xdr:to>
    <xdr:graphicFrame macro="">
      <xdr:nvGraphicFramePr>
        <xdr:cNvPr id="71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368300</xdr:colOff>
      <xdr:row>17</xdr:row>
      <xdr:rowOff>82550</xdr:rowOff>
    </xdr:from>
    <xdr:to>
      <xdr:col>12</xdr:col>
      <xdr:colOff>488950</xdr:colOff>
      <xdr:row>33</xdr:row>
      <xdr:rowOff>69850</xdr:rowOff>
    </xdr:to>
    <xdr:graphicFrame macro="">
      <xdr:nvGraphicFramePr>
        <xdr:cNvPr id="71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0</xdr:row>
          <xdr:rowOff>88900</xdr:rowOff>
        </xdr:from>
        <xdr:to>
          <xdr:col>14</xdr:col>
          <xdr:colOff>914400</xdr:colOff>
          <xdr:row>18</xdr:row>
          <xdr:rowOff>50800</xdr:rowOff>
        </xdr:to>
        <xdr:sp macro="" textlink="">
          <xdr:nvSpPr>
            <xdr:cNvPr id="7169" name="List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agicworkbooks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6"/>
    <pageSetUpPr fitToPage="1"/>
  </sheetPr>
  <dimension ref="A1:C44"/>
  <sheetViews>
    <sheetView showGridLines="0" showZeros="0" tabSelected="1" workbookViewId="0">
      <selection activeCell="A4" sqref="A4"/>
    </sheetView>
  </sheetViews>
  <sheetFormatPr baseColWidth="10" defaultRowHeight="12.5" x14ac:dyDescent="0.25"/>
  <cols>
    <col min="1" max="1" width="101.453125" customWidth="1"/>
  </cols>
  <sheetData>
    <row r="1" spans="1:3" ht="23.5" thickTop="1" x14ac:dyDescent="0.5">
      <c r="A1" s="59" t="s">
        <v>26</v>
      </c>
      <c r="C1" s="113">
        <f ca="1">+TODAY()</f>
        <v>41942</v>
      </c>
    </row>
    <row r="2" spans="1:3" ht="25" x14ac:dyDescent="0.5">
      <c r="A2" s="60" t="s">
        <v>27</v>
      </c>
    </row>
    <row r="3" spans="1:3" ht="23.5" customHeight="1" x14ac:dyDescent="0.4">
      <c r="A3" s="61"/>
    </row>
    <row r="4" spans="1:3" ht="22.5" x14ac:dyDescent="0.45">
      <c r="A4" s="62" t="s">
        <v>48</v>
      </c>
    </row>
    <row r="5" spans="1:3" ht="18" customHeight="1" x14ac:dyDescent="0.35">
      <c r="A5" s="63"/>
    </row>
    <row r="6" spans="1:3" ht="16.149999999999999" customHeight="1" x14ac:dyDescent="0.4">
      <c r="A6" s="61"/>
    </row>
    <row r="7" spans="1:3" ht="13" x14ac:dyDescent="0.3">
      <c r="A7" s="64" t="s">
        <v>38</v>
      </c>
    </row>
    <row r="8" spans="1:3" ht="13" x14ac:dyDescent="0.3">
      <c r="A8" s="64" t="s">
        <v>39</v>
      </c>
    </row>
    <row r="9" spans="1:3" ht="14" x14ac:dyDescent="0.3">
      <c r="A9" s="65" t="s">
        <v>49</v>
      </c>
    </row>
    <row r="10" spans="1:3" ht="13" x14ac:dyDescent="0.3">
      <c r="A10" s="64" t="s">
        <v>40</v>
      </c>
    </row>
    <row r="11" spans="1:3" ht="14" x14ac:dyDescent="0.3">
      <c r="A11" s="65" t="s">
        <v>41</v>
      </c>
    </row>
    <row r="12" spans="1:3" ht="13" x14ac:dyDescent="0.3">
      <c r="A12" s="64" t="s">
        <v>45</v>
      </c>
    </row>
    <row r="13" spans="1:3" ht="13" x14ac:dyDescent="0.3">
      <c r="A13" s="64" t="s">
        <v>44</v>
      </c>
    </row>
    <row r="14" spans="1:3" ht="13" x14ac:dyDescent="0.3">
      <c r="A14" s="64"/>
    </row>
    <row r="15" spans="1:3" ht="6" customHeight="1" x14ac:dyDescent="0.3">
      <c r="A15" s="64"/>
    </row>
    <row r="16" spans="1:3" ht="14" x14ac:dyDescent="0.3">
      <c r="A16" s="65" t="s">
        <v>50</v>
      </c>
    </row>
    <row r="17" spans="1:1" ht="13" x14ac:dyDescent="0.3">
      <c r="A17" s="64" t="s">
        <v>28</v>
      </c>
    </row>
    <row r="18" spans="1:1" ht="13" x14ac:dyDescent="0.3">
      <c r="A18" s="64" t="s">
        <v>29</v>
      </c>
    </row>
    <row r="19" spans="1:1" ht="13" x14ac:dyDescent="0.3">
      <c r="A19" s="64" t="s">
        <v>30</v>
      </c>
    </row>
    <row r="20" spans="1:1" ht="13.15" customHeight="1" x14ac:dyDescent="0.3">
      <c r="A20" s="64"/>
    </row>
    <row r="21" spans="1:1" ht="24.65" customHeight="1" x14ac:dyDescent="0.4">
      <c r="A21" s="66" t="s">
        <v>51</v>
      </c>
    </row>
    <row r="22" spans="1:1" ht="6" customHeight="1" x14ac:dyDescent="0.3">
      <c r="A22" s="67"/>
    </row>
    <row r="23" spans="1:1" ht="27.65" customHeight="1" x14ac:dyDescent="0.3">
      <c r="A23" s="68" t="s">
        <v>31</v>
      </c>
    </row>
    <row r="24" spans="1:1" ht="20.5" customHeight="1" x14ac:dyDescent="0.3">
      <c r="A24" s="68" t="s">
        <v>42</v>
      </c>
    </row>
    <row r="25" spans="1:1" ht="14" x14ac:dyDescent="0.3">
      <c r="A25" s="68" t="s">
        <v>32</v>
      </c>
    </row>
    <row r="26" spans="1:1" ht="14" x14ac:dyDescent="0.3">
      <c r="A26" s="68" t="s">
        <v>33</v>
      </c>
    </row>
    <row r="27" spans="1:1" ht="14" x14ac:dyDescent="0.3">
      <c r="A27" s="68"/>
    </row>
    <row r="28" spans="1:1" ht="14" x14ac:dyDescent="0.3">
      <c r="A28" s="68" t="s">
        <v>34</v>
      </c>
    </row>
    <row r="29" spans="1:1" ht="15.5" x14ac:dyDescent="0.35">
      <c r="A29" s="68" t="s">
        <v>46</v>
      </c>
    </row>
    <row r="30" spans="1:1" ht="14" x14ac:dyDescent="0.3">
      <c r="A30" s="68" t="s">
        <v>47</v>
      </c>
    </row>
    <row r="31" spans="1:1" ht="14" x14ac:dyDescent="0.3">
      <c r="A31" s="68" t="s">
        <v>43</v>
      </c>
    </row>
    <row r="32" spans="1:1" ht="14" x14ac:dyDescent="0.3">
      <c r="A32" s="68"/>
    </row>
    <row r="33" spans="1:1" ht="16.899999999999999" customHeight="1" x14ac:dyDescent="0.3">
      <c r="A33" s="64"/>
    </row>
    <row r="34" spans="1:1" ht="15.5" x14ac:dyDescent="0.35">
      <c r="A34" s="69" t="s">
        <v>35</v>
      </c>
    </row>
    <row r="35" spans="1:1" ht="13" x14ac:dyDescent="0.3">
      <c r="A35" s="64"/>
    </row>
    <row r="36" spans="1:1" ht="15.5" x14ac:dyDescent="0.35">
      <c r="A36" s="70" t="s">
        <v>77</v>
      </c>
    </row>
    <row r="37" spans="1:1" ht="6" customHeight="1" x14ac:dyDescent="0.3">
      <c r="A37" s="64"/>
    </row>
    <row r="38" spans="1:1" ht="36.65" customHeight="1" x14ac:dyDescent="0.35">
      <c r="A38" s="70" t="s">
        <v>36</v>
      </c>
    </row>
    <row r="39" spans="1:1" ht="15.5" x14ac:dyDescent="0.35">
      <c r="A39" s="70" t="s">
        <v>37</v>
      </c>
    </row>
    <row r="40" spans="1:1" ht="13" x14ac:dyDescent="0.3">
      <c r="A40" s="64"/>
    </row>
    <row r="41" spans="1:1" ht="42" customHeight="1" x14ac:dyDescent="0.35">
      <c r="A41" s="71"/>
    </row>
    <row r="42" spans="1:1" ht="20.5" customHeight="1" x14ac:dyDescent="0.25">
      <c r="A42" s="115" t="s">
        <v>83</v>
      </c>
    </row>
    <row r="43" spans="1:1" ht="6" customHeight="1" x14ac:dyDescent="0.3">
      <c r="A43" s="64"/>
    </row>
    <row r="44" spans="1:1" ht="22.15" customHeight="1" x14ac:dyDescent="0.25">
      <c r="A44" s="114" t="str">
        <f ca="1">+CONCATENATE("copyright 2005 - ",YEAR(C1)," K! Business Solutions GmbH, Erkrath - Germany")</f>
        <v>copyright 2005 - 2014 K! Business Solutions GmbH, Erkrath - Germany</v>
      </c>
    </row>
  </sheetData>
  <phoneticPr fontId="3" type="noConversion"/>
  <hyperlinks>
    <hyperlink ref="A42" r:id="rId1"/>
  </hyperlinks>
  <printOptions horizontalCentered="1"/>
  <pageMargins left="0.39370078740157483" right="0" top="0.98425196850393704" bottom="0.59055118110236227" header="0.51181102362204722" footer="0.39370078740157483"/>
  <pageSetup paperSize="9" scale="8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6"/>
  <sheetViews>
    <sheetView showGridLines="0" zoomScale="125" workbookViewId="0"/>
  </sheetViews>
  <sheetFormatPr baseColWidth="10" defaultColWidth="11.453125" defaultRowHeight="10" x14ac:dyDescent="0.2"/>
  <cols>
    <col min="1" max="1" width="4" style="26" customWidth="1"/>
    <col min="2" max="3" width="6.54296875" style="25" customWidth="1"/>
    <col min="4" max="4" width="6.54296875" style="26" customWidth="1"/>
    <col min="5" max="5" width="7" style="26" customWidth="1"/>
    <col min="6" max="9" width="6.54296875" style="26" customWidth="1"/>
    <col min="10" max="10" width="7.26953125" style="26" customWidth="1"/>
    <col min="11" max="12" width="7.54296875" style="26" customWidth="1"/>
    <col min="13" max="13" width="7.26953125" style="26" customWidth="1"/>
    <col min="14" max="14" width="2.26953125" style="26" customWidth="1"/>
    <col min="15" max="15" width="15.54296875" style="26" customWidth="1"/>
    <col min="16" max="16384" width="11.453125" style="26"/>
  </cols>
  <sheetData>
    <row r="1" spans="1:27" ht="13" x14ac:dyDescent="0.3">
      <c r="A1" s="37" t="s">
        <v>21</v>
      </c>
      <c r="C1" s="30"/>
      <c r="D1" s="30"/>
      <c r="E1" s="30"/>
      <c r="G1" s="39" t="s">
        <v>1</v>
      </c>
      <c r="H1" s="38">
        <f>DATA!C7</f>
        <v>2015</v>
      </c>
      <c r="J1" s="33"/>
      <c r="K1" s="34"/>
      <c r="L1" s="34"/>
      <c r="M1" s="40" t="str">
        <f>DATA!$B$5</f>
        <v>Meulenburger &amp; Trapp KG</v>
      </c>
      <c r="AA1" s="26" t="s">
        <v>16</v>
      </c>
    </row>
    <row r="2" spans="1:27" ht="12" x14ac:dyDescent="0.3">
      <c r="A2" s="51" t="s">
        <v>78</v>
      </c>
      <c r="B2" s="52"/>
      <c r="C2" s="52"/>
      <c r="D2" s="52"/>
      <c r="E2" s="30"/>
      <c r="K2" s="30"/>
    </row>
    <row r="3" spans="1:27" x14ac:dyDescent="0.2">
      <c r="A3" s="54"/>
      <c r="B3" s="55"/>
      <c r="D3" s="56"/>
      <c r="E3" s="30"/>
      <c r="K3" s="30"/>
    </row>
    <row r="4" spans="1:27" ht="3.65" customHeight="1" x14ac:dyDescent="0.2">
      <c r="AA4" s="32">
        <v>9</v>
      </c>
    </row>
    <row r="5" spans="1:27" hidden="1" x14ac:dyDescent="0.2">
      <c r="B5" s="48">
        <f>DATA!$A18</f>
        <v>42005</v>
      </c>
      <c r="C5" s="49">
        <f>DATA!$A19</f>
        <v>42036</v>
      </c>
      <c r="D5" s="50">
        <f>DATA!$A20</f>
        <v>42064</v>
      </c>
      <c r="E5" s="50">
        <f>DATA!$A21</f>
        <v>42095</v>
      </c>
      <c r="F5" s="50">
        <f>DATA!$A22</f>
        <v>42125</v>
      </c>
      <c r="G5" s="50">
        <f>DATA!$A23</f>
        <v>42156</v>
      </c>
      <c r="H5" s="50">
        <f>DATA!$A24</f>
        <v>42186</v>
      </c>
      <c r="I5" s="50">
        <f>DATA!$A25</f>
        <v>42217</v>
      </c>
      <c r="J5" s="50">
        <f>DATA!$A26</f>
        <v>42248</v>
      </c>
      <c r="K5" s="50">
        <f>DATA!$A27</f>
        <v>42278</v>
      </c>
      <c r="L5" s="50">
        <f>DATA!$A28</f>
        <v>42309</v>
      </c>
      <c r="M5" s="50">
        <f>DATA!$A29</f>
        <v>42339</v>
      </c>
    </row>
    <row r="6" spans="1:27" ht="14.5" hidden="1" customHeight="1" x14ac:dyDescent="0.2">
      <c r="A6" s="46" t="s">
        <v>19</v>
      </c>
      <c r="B6" s="47">
        <f>IF($AA$4&gt;=1,Survey!$K$18,0)</f>
        <v>70000</v>
      </c>
      <c r="C6" s="42">
        <f>IF($AA$4&gt;1,Survey!$K$19,0)</f>
        <v>280000</v>
      </c>
      <c r="D6" s="36">
        <f>IF($AA$4&gt;2,Survey!$K$20,0)</f>
        <v>460000</v>
      </c>
      <c r="E6" s="36">
        <f>IF($AA$4&gt;3,Survey!$K$21,0)</f>
        <v>553000</v>
      </c>
      <c r="F6" s="36">
        <f>IF($AA$4&gt;4,Survey!$K$22,0)</f>
        <v>873000</v>
      </c>
      <c r="G6" s="36">
        <f>IF($AA$4&gt;5,Survey!$K$23,0)</f>
        <v>993000</v>
      </c>
      <c r="H6" s="36">
        <f>IF($AA$4&gt;6,Survey!$K$24,0)</f>
        <v>1073000</v>
      </c>
      <c r="I6" s="36">
        <f>IF($AA$4&gt;7,Survey!$K$25,0)</f>
        <v>1123000</v>
      </c>
      <c r="J6" s="36">
        <f>IF($AA$4&gt;8,Survey!$K$26,0)</f>
        <v>1343000</v>
      </c>
      <c r="K6" s="36">
        <f>IF($AA$4&gt;9,Survey!$K$27,0)</f>
        <v>0</v>
      </c>
      <c r="L6" s="36">
        <f>IF($AA$4&gt;10,Survey!$K$28,0)</f>
        <v>0</v>
      </c>
      <c r="M6" s="36">
        <f>IF($AA$4&gt;11,Survey!$K$29,0)</f>
        <v>0</v>
      </c>
    </row>
    <row r="7" spans="1:27" hidden="1" x14ac:dyDescent="0.2">
      <c r="A7" s="45" t="s">
        <v>18</v>
      </c>
      <c r="B7" s="42">
        <f>IF($AA$4&gt;=1,Survey!$M18,0)</f>
        <v>87354</v>
      </c>
      <c r="C7" s="36">
        <f>IF($AA$4&gt;1,Survey!$M19,0)</f>
        <v>180821</v>
      </c>
      <c r="D7" s="36">
        <f>IF($AA$4&gt;2,Survey!$M20,0)</f>
        <v>407995</v>
      </c>
      <c r="E7" s="36">
        <f>IF($AA$4&gt;3,Survey!$M21,0)</f>
        <v>407995</v>
      </c>
      <c r="F7" s="36">
        <f>IF($AA$4&gt;4,Survey!$M22,0)</f>
        <v>407995</v>
      </c>
      <c r="G7" s="36">
        <f>IF($AA$4&gt;5,Survey!$M23,0)</f>
        <v>407995</v>
      </c>
      <c r="H7" s="36">
        <f>IF($AA$4&gt;6,Survey!$M24,0)</f>
        <v>407995</v>
      </c>
      <c r="I7" s="36">
        <f>IF($AA$4&gt;7,Survey!$M25,0)</f>
        <v>407995</v>
      </c>
      <c r="J7" s="36">
        <f>IF($AA$4&gt;8,Survey!$M26,0)</f>
        <v>407995</v>
      </c>
      <c r="K7" s="36">
        <f>IF($AA$4&gt;9,Survey!$M27,0)</f>
        <v>0</v>
      </c>
      <c r="L7" s="36">
        <f>IF($AA$4&gt;10,Survey!$M28,0)</f>
        <v>0</v>
      </c>
      <c r="M7" s="36">
        <f>IF($AA$4&gt;11,Survey!$M29,0)</f>
        <v>0</v>
      </c>
      <c r="AA7" s="31">
        <f>DATA!A18</f>
        <v>42005</v>
      </c>
    </row>
    <row r="8" spans="1:27" hidden="1" x14ac:dyDescent="0.2">
      <c r="A8" s="44" t="s">
        <v>12</v>
      </c>
      <c r="B8" s="42">
        <f>IF(Survey!$H$18=DATA!D18,0,IF($AA$4&gt;=1,Survey!$O$18,0))</f>
        <v>0</v>
      </c>
      <c r="C8" s="36">
        <f>IF(Survey!$H$19=DATA!$D$19,0,IF($AA$4&gt;1,Survey!$O$19,0))</f>
        <v>0</v>
      </c>
      <c r="D8" s="36">
        <f>IF(Survey!$H$20=DATA!$D$20,0,IF($AA$4&gt;2,Survey!$O$20,0))</f>
        <v>0</v>
      </c>
      <c r="E8" s="36">
        <f>IF(Survey!$H$21=DATA!$D$21,0,IF($AA$4&gt;3,Survey!$O$21,0))</f>
        <v>499602.2634920635</v>
      </c>
      <c r="F8" s="36">
        <f>IF(Survey!$H$22=DATA!$D$22,0,IF($AA$4&gt;4,Survey!$O$22,0))</f>
        <v>814810.05185185187</v>
      </c>
      <c r="G8" s="36">
        <f>IF(Survey!$H$23=DATA!$D$23,0,IF($AA$4&gt;5,Survey!$O$23,0))</f>
        <v>933012.97248677246</v>
      </c>
      <c r="H8" s="36">
        <f>IF(Survey!$H$24=DATA!$D$24,0,IF($AA$4&gt;6,Survey!$O$24,0))</f>
        <v>1011814.9195767195</v>
      </c>
      <c r="I8" s="36">
        <f>IF(Survey!$H$25=DATA!$D$25,0,IF($AA$4&gt;7,Survey!$O$25,0))</f>
        <v>1061066.1365079365</v>
      </c>
      <c r="J8" s="36">
        <f>IF(Survey!$H$26=DATA!$D$26,0,IF($AA$4&gt;8,Survey!$O$26,0))</f>
        <v>1277771.491005291</v>
      </c>
      <c r="K8" s="36">
        <f>IF(Survey!$H$27=DATA!$D$27,0,IF($AA$4&gt;9,Survey!$O$27,0))</f>
        <v>0</v>
      </c>
      <c r="L8" s="36">
        <f>IF(Survey!$H$28=DATA!$D$28,0,IF($AA$4&gt;10,Survey!$O$28,0))</f>
        <v>0</v>
      </c>
      <c r="M8" s="36">
        <f>IF(Survey!$H$29=DATA!$D$29,0,IF($AA$4&gt;11,Survey!$O$29,0))</f>
        <v>0</v>
      </c>
      <c r="AA8" s="31">
        <f>DATA!A19</f>
        <v>42036</v>
      </c>
    </row>
    <row r="9" spans="1:27" hidden="1" x14ac:dyDescent="0.2">
      <c r="C9" s="28"/>
      <c r="D9" s="28"/>
      <c r="E9" s="28"/>
      <c r="F9" s="29"/>
      <c r="AA9" s="31">
        <f>DATA!A20</f>
        <v>42064</v>
      </c>
    </row>
    <row r="10" spans="1:27" ht="14.5" hidden="1" customHeight="1" x14ac:dyDescent="0.2">
      <c r="B10" s="25">
        <v>1</v>
      </c>
      <c r="C10" s="28">
        <v>2</v>
      </c>
      <c r="D10" s="25">
        <v>3</v>
      </c>
      <c r="E10" s="28">
        <v>4</v>
      </c>
      <c r="F10" s="25">
        <v>5</v>
      </c>
      <c r="G10" s="28">
        <v>6</v>
      </c>
      <c r="H10" s="25">
        <v>7</v>
      </c>
      <c r="I10" s="28">
        <v>8</v>
      </c>
      <c r="J10" s="25">
        <v>9</v>
      </c>
      <c r="K10" s="28">
        <v>10</v>
      </c>
      <c r="L10" s="25">
        <v>11</v>
      </c>
      <c r="M10" s="28">
        <v>12</v>
      </c>
      <c r="AA10" s="31">
        <f>DATA!A21</f>
        <v>42095</v>
      </c>
    </row>
    <row r="11" spans="1:27" hidden="1" x14ac:dyDescent="0.2">
      <c r="A11" s="45" t="str">
        <f>A7</f>
        <v>Ist</v>
      </c>
      <c r="B11" s="95">
        <f t="shared" ref="B11:M11" si="0">IF(B6=0,0,B7/B6)</f>
        <v>1.2479142857142858</v>
      </c>
      <c r="C11" s="95">
        <f t="shared" si="0"/>
        <v>0.64578928571428573</v>
      </c>
      <c r="D11" s="95">
        <f t="shared" si="0"/>
        <v>0.88694565217391308</v>
      </c>
      <c r="E11" s="95">
        <f t="shared" si="0"/>
        <v>0.73778481012658226</v>
      </c>
      <c r="F11" s="95">
        <f t="shared" si="0"/>
        <v>0.46734822451317298</v>
      </c>
      <c r="G11" s="95">
        <f t="shared" si="0"/>
        <v>0.41087109768378649</v>
      </c>
      <c r="H11" s="95">
        <f t="shared" si="0"/>
        <v>0.38023765144454802</v>
      </c>
      <c r="I11" s="95">
        <f t="shared" si="0"/>
        <v>0.36330810329474622</v>
      </c>
      <c r="J11" s="95">
        <f t="shared" si="0"/>
        <v>0.30379374534623976</v>
      </c>
      <c r="K11" s="95">
        <f t="shared" si="0"/>
        <v>0</v>
      </c>
      <c r="L11" s="95">
        <f t="shared" si="0"/>
        <v>0</v>
      </c>
      <c r="M11" s="96">
        <f t="shared" si="0"/>
        <v>0</v>
      </c>
      <c r="AA11" s="31">
        <f>DATA!A22</f>
        <v>42125</v>
      </c>
    </row>
    <row r="12" spans="1:27" hidden="1" x14ac:dyDescent="0.2">
      <c r="A12" s="44" t="str">
        <f>A8</f>
        <v>Trend</v>
      </c>
      <c r="B12" s="97">
        <f t="shared" ref="B12:M12" si="1">IF(B8=0,0,B8/B6)</f>
        <v>0</v>
      </c>
      <c r="C12" s="97">
        <f t="shared" si="1"/>
        <v>0</v>
      </c>
      <c r="D12" s="97">
        <f t="shared" si="1"/>
        <v>0</v>
      </c>
      <c r="E12" s="97">
        <f t="shared" si="1"/>
        <v>0.90343989781566636</v>
      </c>
      <c r="F12" s="97">
        <f t="shared" si="1"/>
        <v>0.93334484748207547</v>
      </c>
      <c r="G12" s="97">
        <f t="shared" si="1"/>
        <v>0.93959010320923708</v>
      </c>
      <c r="H12" s="97">
        <f t="shared" si="1"/>
        <v>0.94297755785341986</v>
      </c>
      <c r="I12" s="97">
        <f t="shared" si="1"/>
        <v>0.94484963179691583</v>
      </c>
      <c r="J12" s="97">
        <f t="shared" si="1"/>
        <v>0.95143074535017946</v>
      </c>
      <c r="K12" s="97">
        <f t="shared" si="1"/>
        <v>0</v>
      </c>
      <c r="L12" s="97">
        <f t="shared" si="1"/>
        <v>0</v>
      </c>
      <c r="M12" s="98">
        <f t="shared" si="1"/>
        <v>0</v>
      </c>
      <c r="AA12" s="31">
        <f>DATA!A23</f>
        <v>42156</v>
      </c>
    </row>
    <row r="13" spans="1:27" x14ac:dyDescent="0.2">
      <c r="C13" s="28"/>
      <c r="D13" s="28"/>
      <c r="E13" s="28"/>
      <c r="F13" s="28"/>
      <c r="G13" s="28"/>
      <c r="H13" s="28"/>
      <c r="I13" s="28"/>
      <c r="AA13" s="31">
        <f>DATA!A24</f>
        <v>42186</v>
      </c>
    </row>
    <row r="14" spans="1:27" ht="12.5" x14ac:dyDescent="0.25">
      <c r="C14" s="28"/>
      <c r="D14" s="99"/>
      <c r="E14" s="100">
        <f>AA20</f>
        <v>42248</v>
      </c>
      <c r="H14" s="29"/>
      <c r="J14" s="101"/>
      <c r="K14" s="102">
        <f>AA20</f>
        <v>42248</v>
      </c>
      <c r="AA14" s="31">
        <f>DATA!A25</f>
        <v>42217</v>
      </c>
    </row>
    <row r="15" spans="1:27" ht="16.899999999999999" customHeight="1" x14ac:dyDescent="0.2">
      <c r="C15" s="28"/>
      <c r="D15" s="103" t="str">
        <f>A11</f>
        <v>Ist</v>
      </c>
      <c r="E15" s="104">
        <f>HLOOKUP(AA$4,$B$10:$M$11,2,TRUE)</f>
        <v>0.30379374534623976</v>
      </c>
      <c r="H15" s="29"/>
      <c r="J15" s="103" t="str">
        <f>A12</f>
        <v>Trend</v>
      </c>
      <c r="K15" s="104">
        <f>HLOOKUP(AA$4,$B$10:$M$12,3,TRUE)</f>
        <v>0.95143074535017946</v>
      </c>
      <c r="AA15" s="31">
        <f>DATA!A26</f>
        <v>42248</v>
      </c>
    </row>
    <row r="16" spans="1:27" ht="9.65" customHeight="1" x14ac:dyDescent="0.2">
      <c r="C16" s="28"/>
      <c r="D16" s="105" t="s">
        <v>79</v>
      </c>
      <c r="E16" s="106">
        <f>1-E15</f>
        <v>0.69620625465376018</v>
      </c>
      <c r="H16" s="29"/>
      <c r="J16" s="107" t="s">
        <v>79</v>
      </c>
      <c r="K16" s="106">
        <f>1-K15</f>
        <v>4.8569254649820537E-2</v>
      </c>
      <c r="L16" s="28"/>
      <c r="AA16" s="31">
        <f>DATA!A27</f>
        <v>42278</v>
      </c>
    </row>
    <row r="17" spans="2:27" ht="33.65" customHeight="1" x14ac:dyDescent="0.2">
      <c r="C17" s="28"/>
      <c r="D17" s="108"/>
      <c r="E17" s="109"/>
      <c r="H17" s="29"/>
      <c r="J17" s="110"/>
      <c r="K17" s="109"/>
      <c r="L17" s="28"/>
      <c r="AA17" s="31">
        <f>DATA!A28</f>
        <v>42309</v>
      </c>
    </row>
    <row r="18" spans="2:27" x14ac:dyDescent="0.2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AA18" s="31">
        <f>DATA!A29</f>
        <v>42339</v>
      </c>
    </row>
    <row r="19" spans="2:27" x14ac:dyDescent="0.2"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2:27" x14ac:dyDescent="0.2">
      <c r="B20" s="27"/>
      <c r="D20" s="25"/>
      <c r="E20" s="25"/>
      <c r="F20" s="25"/>
      <c r="AA20" s="31">
        <f>INDEX(AA7:AA18,AA$4)</f>
        <v>42248</v>
      </c>
    </row>
    <row r="21" spans="2:27" x14ac:dyDescent="0.2">
      <c r="B21" s="27"/>
      <c r="D21" s="25"/>
      <c r="E21" s="25"/>
      <c r="F21" s="25"/>
    </row>
    <row r="22" spans="2:27" x14ac:dyDescent="0.2">
      <c r="B22" s="27"/>
      <c r="D22" s="25"/>
      <c r="E22" s="25"/>
      <c r="F22" s="25"/>
    </row>
    <row r="23" spans="2:27" x14ac:dyDescent="0.2">
      <c r="B23" s="27"/>
      <c r="D23" s="25"/>
      <c r="E23" s="25"/>
      <c r="F23" s="25"/>
    </row>
    <row r="24" spans="2:27" x14ac:dyDescent="0.2">
      <c r="B24" s="27"/>
      <c r="D24" s="25"/>
      <c r="E24" s="25"/>
      <c r="F24" s="25"/>
    </row>
    <row r="25" spans="2:27" x14ac:dyDescent="0.2">
      <c r="B25" s="27"/>
      <c r="D25" s="25"/>
      <c r="E25" s="25"/>
      <c r="F25" s="25"/>
    </row>
    <row r="26" spans="2:27" x14ac:dyDescent="0.2">
      <c r="B26" s="27"/>
      <c r="D26" s="25"/>
      <c r="E26" s="25"/>
      <c r="F26" s="25"/>
    </row>
    <row r="27" spans="2:27" x14ac:dyDescent="0.2">
      <c r="B27" s="27"/>
      <c r="D27" s="25"/>
      <c r="E27" s="25"/>
      <c r="F27" s="25"/>
    </row>
    <row r="35" spans="15:15" ht="10.5" thickBot="1" x14ac:dyDescent="0.25"/>
    <row r="36" spans="15:15" ht="11" thickBot="1" x14ac:dyDescent="0.3">
      <c r="O36" s="84" t="str">
        <f>Navigation!$A$1</f>
        <v>Sell me more!</v>
      </c>
    </row>
  </sheetData>
  <phoneticPr fontId="3" type="noConversion"/>
  <hyperlinks>
    <hyperlink ref="O36" location="Navigation!A1" display="=Navigation!$A$1"/>
  </hyperlinks>
  <pageMargins left="0.78740157499999996" right="0.78740157499999996" top="0.984251969" bottom="0.984251969" header="0.4921259845" footer="0.4921259845"/>
  <pageSetup paperSize="9" scale="1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ist Box 1">
              <controlPr defaultSize="0" autoLine="0" autoPict="0">
                <anchor moveWithCells="1">
                  <from>
                    <xdr:col>14</xdr:col>
                    <xdr:colOff>31750</xdr:colOff>
                    <xdr:row>0</xdr:row>
                    <xdr:rowOff>88900</xdr:rowOff>
                  </from>
                  <to>
                    <xdr:col>14</xdr:col>
                    <xdr:colOff>914400</xdr:colOff>
                    <xdr:row>18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9"/>
  </sheetPr>
  <dimension ref="A1:E277"/>
  <sheetViews>
    <sheetView showGridLines="0" workbookViewId="0"/>
  </sheetViews>
  <sheetFormatPr baseColWidth="10" defaultColWidth="11.54296875" defaultRowHeight="13" x14ac:dyDescent="0.3"/>
  <cols>
    <col min="1" max="1" width="27.54296875" style="4" customWidth="1"/>
    <col min="2" max="2" width="15.26953125" style="4" customWidth="1"/>
    <col min="3" max="3" width="3.7265625" style="4" customWidth="1"/>
    <col min="4" max="4" width="65" style="4" customWidth="1"/>
    <col min="5" max="5" width="12.81640625" style="83" customWidth="1"/>
    <col min="6" max="16384" width="11.54296875" style="4"/>
  </cols>
  <sheetData>
    <row r="1" spans="1:5" s="1" customFormat="1" ht="37.9" customHeight="1" x14ac:dyDescent="0.25">
      <c r="A1" s="85" t="s">
        <v>76</v>
      </c>
      <c r="B1" s="72"/>
      <c r="C1" s="73" t="s">
        <v>62</v>
      </c>
      <c r="D1" s="74"/>
      <c r="E1" s="75" t="s">
        <v>63</v>
      </c>
    </row>
    <row r="3" spans="1:5" s="78" customFormat="1" ht="25.15" customHeight="1" thickBot="1" x14ac:dyDescent="0.35">
      <c r="A3" s="76" t="s">
        <v>52</v>
      </c>
      <c r="B3" s="76" t="s">
        <v>53</v>
      </c>
      <c r="C3" s="76"/>
      <c r="D3" s="76" t="s">
        <v>54</v>
      </c>
      <c r="E3" s="77" t="s">
        <v>55</v>
      </c>
    </row>
    <row r="4" spans="1:5" ht="31.15" customHeight="1" thickBot="1" x14ac:dyDescent="0.35">
      <c r="A4" s="79" t="s">
        <v>56</v>
      </c>
      <c r="B4" s="79"/>
      <c r="C4" s="79"/>
      <c r="D4" s="79" t="s">
        <v>57</v>
      </c>
      <c r="E4" s="80" t="s">
        <v>58</v>
      </c>
    </row>
    <row r="5" spans="1:5" ht="31.15" customHeight="1" thickBot="1" x14ac:dyDescent="0.35">
      <c r="A5" s="81" t="s">
        <v>64</v>
      </c>
      <c r="B5" s="82" t="s">
        <v>59</v>
      </c>
      <c r="C5" s="82"/>
      <c r="D5" s="82" t="s">
        <v>65</v>
      </c>
      <c r="E5" s="80" t="s">
        <v>58</v>
      </c>
    </row>
    <row r="6" spans="1:5" ht="31.15" customHeight="1" thickBot="1" x14ac:dyDescent="0.35">
      <c r="A6" s="81" t="s">
        <v>60</v>
      </c>
      <c r="B6" s="82" t="s">
        <v>59</v>
      </c>
      <c r="C6" s="82"/>
      <c r="D6" s="82" t="s">
        <v>66</v>
      </c>
      <c r="E6" s="80" t="s">
        <v>58</v>
      </c>
    </row>
    <row r="7" spans="1:5" ht="31.15" customHeight="1" thickBot="1" x14ac:dyDescent="0.35">
      <c r="A7" s="81" t="s">
        <v>67</v>
      </c>
      <c r="B7" s="82" t="s">
        <v>61</v>
      </c>
      <c r="C7" s="82"/>
      <c r="D7" s="82" t="s">
        <v>72</v>
      </c>
      <c r="E7" s="80" t="s">
        <v>58</v>
      </c>
    </row>
    <row r="8" spans="1:5" ht="31.15" customHeight="1" thickBot="1" x14ac:dyDescent="0.35">
      <c r="A8" s="81" t="s">
        <v>68</v>
      </c>
      <c r="B8" s="82" t="s">
        <v>61</v>
      </c>
      <c r="C8" s="82"/>
      <c r="D8" s="82" t="s">
        <v>74</v>
      </c>
      <c r="E8" s="80" t="s">
        <v>58</v>
      </c>
    </row>
    <row r="9" spans="1:5" ht="31.15" customHeight="1" thickBot="1" x14ac:dyDescent="0.35">
      <c r="A9" s="81" t="s">
        <v>69</v>
      </c>
      <c r="B9" s="82" t="s">
        <v>61</v>
      </c>
      <c r="C9" s="82"/>
      <c r="D9" s="82" t="s">
        <v>73</v>
      </c>
      <c r="E9" s="80" t="s">
        <v>58</v>
      </c>
    </row>
    <row r="10" spans="1:5" ht="31.15" customHeight="1" thickBot="1" x14ac:dyDescent="0.35">
      <c r="A10" s="81" t="s">
        <v>70</v>
      </c>
      <c r="B10" s="82" t="s">
        <v>61</v>
      </c>
      <c r="C10" s="82"/>
      <c r="D10" s="82" t="s">
        <v>24</v>
      </c>
      <c r="E10" s="80" t="s">
        <v>58</v>
      </c>
    </row>
    <row r="11" spans="1:5" ht="31.15" customHeight="1" thickBot="1" x14ac:dyDescent="0.35">
      <c r="A11" s="81" t="s">
        <v>71</v>
      </c>
      <c r="B11" s="82" t="s">
        <v>61</v>
      </c>
      <c r="C11" s="82"/>
      <c r="D11" s="82" t="s">
        <v>75</v>
      </c>
      <c r="E11" s="80" t="s">
        <v>58</v>
      </c>
    </row>
    <row r="12" spans="1:5" ht="31.15" customHeight="1" thickBot="1" x14ac:dyDescent="0.35">
      <c r="A12" s="81" t="s">
        <v>80</v>
      </c>
      <c r="B12" s="82" t="s">
        <v>61</v>
      </c>
      <c r="C12" s="82"/>
      <c r="D12" s="82" t="s">
        <v>81</v>
      </c>
      <c r="E12" s="80" t="s">
        <v>58</v>
      </c>
    </row>
    <row r="13" spans="1:5" ht="25.15" customHeight="1" x14ac:dyDescent="0.3"/>
    <row r="14" spans="1:5" ht="25.15" customHeight="1" x14ac:dyDescent="0.3"/>
    <row r="15" spans="1:5" ht="25.15" customHeight="1" x14ac:dyDescent="0.3"/>
    <row r="16" spans="1:5" ht="25.15" customHeight="1" x14ac:dyDescent="0.3"/>
    <row r="17" ht="25.15" customHeight="1" x14ac:dyDescent="0.3"/>
    <row r="18" ht="25.15" customHeight="1" x14ac:dyDescent="0.3"/>
    <row r="19" ht="25.15" customHeight="1" x14ac:dyDescent="0.3"/>
    <row r="20" ht="25.15" customHeight="1" x14ac:dyDescent="0.3"/>
    <row r="21" ht="25.15" customHeight="1" x14ac:dyDescent="0.3"/>
    <row r="22" ht="25.15" customHeight="1" x14ac:dyDescent="0.3"/>
    <row r="23" ht="25.15" customHeight="1" x14ac:dyDescent="0.3"/>
    <row r="24" ht="25.15" customHeight="1" x14ac:dyDescent="0.3"/>
    <row r="25" ht="25.15" customHeight="1" x14ac:dyDescent="0.3"/>
    <row r="26" ht="25.15" customHeight="1" x14ac:dyDescent="0.3"/>
    <row r="27" ht="25.15" customHeight="1" x14ac:dyDescent="0.3"/>
    <row r="28" ht="25.15" customHeight="1" x14ac:dyDescent="0.3"/>
    <row r="29" ht="25.15" customHeight="1" x14ac:dyDescent="0.3"/>
    <row r="30" ht="25.15" customHeight="1" x14ac:dyDescent="0.3"/>
    <row r="31" ht="25.15" customHeight="1" x14ac:dyDescent="0.3"/>
    <row r="32" ht="25.15" customHeight="1" x14ac:dyDescent="0.3"/>
    <row r="33" ht="25.15" customHeight="1" x14ac:dyDescent="0.3"/>
    <row r="34" ht="25.15" customHeight="1" x14ac:dyDescent="0.3"/>
    <row r="35" ht="25.15" customHeight="1" x14ac:dyDescent="0.3"/>
    <row r="36" ht="25.15" customHeight="1" x14ac:dyDescent="0.3"/>
    <row r="37" ht="25.15" customHeight="1" x14ac:dyDescent="0.3"/>
    <row r="38" ht="25.15" customHeight="1" x14ac:dyDescent="0.3"/>
    <row r="39" ht="25.15" customHeight="1" x14ac:dyDescent="0.3"/>
    <row r="40" ht="25.15" customHeight="1" x14ac:dyDescent="0.3"/>
    <row r="41" ht="25.15" customHeight="1" x14ac:dyDescent="0.3"/>
    <row r="42" ht="25.15" customHeight="1" x14ac:dyDescent="0.3"/>
    <row r="43" ht="25.15" customHeight="1" x14ac:dyDescent="0.3"/>
    <row r="44" ht="25.15" customHeight="1" x14ac:dyDescent="0.3"/>
    <row r="45" ht="25.15" customHeight="1" x14ac:dyDescent="0.3"/>
    <row r="46" ht="25.15" customHeight="1" x14ac:dyDescent="0.3"/>
    <row r="47" ht="25.15" customHeight="1" x14ac:dyDescent="0.3"/>
    <row r="48" ht="25.15" customHeight="1" x14ac:dyDescent="0.3"/>
    <row r="49" ht="25.15" customHeight="1" x14ac:dyDescent="0.3"/>
    <row r="50" ht="25.15" customHeight="1" x14ac:dyDescent="0.3"/>
    <row r="51" ht="25.15" customHeight="1" x14ac:dyDescent="0.3"/>
    <row r="52" ht="25.15" customHeight="1" x14ac:dyDescent="0.3"/>
    <row r="53" ht="25.15" customHeight="1" x14ac:dyDescent="0.3"/>
    <row r="54" ht="25.15" customHeight="1" x14ac:dyDescent="0.3"/>
    <row r="55" ht="25.15" customHeight="1" x14ac:dyDescent="0.3"/>
    <row r="56" ht="25.15" customHeight="1" x14ac:dyDescent="0.3"/>
    <row r="57" ht="25.15" customHeight="1" x14ac:dyDescent="0.3"/>
    <row r="58" ht="25.15" customHeight="1" x14ac:dyDescent="0.3"/>
    <row r="59" ht="25.15" customHeight="1" x14ac:dyDescent="0.3"/>
    <row r="60" ht="25.15" customHeight="1" x14ac:dyDescent="0.3"/>
    <row r="61" ht="25.15" customHeight="1" x14ac:dyDescent="0.3"/>
    <row r="62" ht="25.15" customHeight="1" x14ac:dyDescent="0.3"/>
    <row r="63" ht="25.15" customHeight="1" x14ac:dyDescent="0.3"/>
    <row r="64" ht="25.15" customHeight="1" x14ac:dyDescent="0.3"/>
    <row r="65" ht="25.15" customHeight="1" x14ac:dyDescent="0.3"/>
    <row r="66" ht="25.15" customHeight="1" x14ac:dyDescent="0.3"/>
    <row r="67" ht="25.15" customHeight="1" x14ac:dyDescent="0.3"/>
    <row r="68" ht="25.15" customHeight="1" x14ac:dyDescent="0.3"/>
    <row r="69" ht="25.15" customHeight="1" x14ac:dyDescent="0.3"/>
    <row r="70" ht="25.15" customHeight="1" x14ac:dyDescent="0.3"/>
    <row r="71" ht="25.15" customHeight="1" x14ac:dyDescent="0.3"/>
    <row r="72" ht="25.15" customHeight="1" x14ac:dyDescent="0.3"/>
    <row r="73" ht="25.15" customHeight="1" x14ac:dyDescent="0.3"/>
    <row r="74" ht="25.15" customHeight="1" x14ac:dyDescent="0.3"/>
    <row r="75" ht="25.15" customHeight="1" x14ac:dyDescent="0.3"/>
    <row r="76" ht="25.15" customHeight="1" x14ac:dyDescent="0.3"/>
    <row r="77" ht="25.15" customHeight="1" x14ac:dyDescent="0.3"/>
    <row r="78" ht="25.15" customHeight="1" x14ac:dyDescent="0.3"/>
    <row r="79" ht="25.15" customHeight="1" x14ac:dyDescent="0.3"/>
    <row r="80" ht="25.15" customHeight="1" x14ac:dyDescent="0.3"/>
    <row r="81" ht="25.15" customHeight="1" x14ac:dyDescent="0.3"/>
    <row r="82" ht="25.15" customHeight="1" x14ac:dyDescent="0.3"/>
    <row r="83" ht="25.15" customHeight="1" x14ac:dyDescent="0.3"/>
    <row r="84" ht="25.15" customHeight="1" x14ac:dyDescent="0.3"/>
    <row r="85" ht="25.15" customHeight="1" x14ac:dyDescent="0.3"/>
    <row r="86" ht="25.15" customHeight="1" x14ac:dyDescent="0.3"/>
    <row r="87" ht="25.15" customHeight="1" x14ac:dyDescent="0.3"/>
    <row r="88" ht="25.15" customHeight="1" x14ac:dyDescent="0.3"/>
    <row r="89" ht="25.15" customHeight="1" x14ac:dyDescent="0.3"/>
    <row r="90" ht="25.15" customHeight="1" x14ac:dyDescent="0.3"/>
    <row r="91" ht="25.15" customHeight="1" x14ac:dyDescent="0.3"/>
    <row r="92" ht="25.15" customHeight="1" x14ac:dyDescent="0.3"/>
    <row r="93" ht="25.15" customHeight="1" x14ac:dyDescent="0.3"/>
    <row r="94" ht="25.15" customHeight="1" x14ac:dyDescent="0.3"/>
    <row r="95" ht="25.15" customHeight="1" x14ac:dyDescent="0.3"/>
    <row r="96" ht="25.15" customHeight="1" x14ac:dyDescent="0.3"/>
    <row r="97" ht="25.15" customHeight="1" x14ac:dyDescent="0.3"/>
    <row r="98" ht="25.15" customHeight="1" x14ac:dyDescent="0.3"/>
    <row r="99" ht="25.15" customHeight="1" x14ac:dyDescent="0.3"/>
    <row r="100" ht="25.15" customHeight="1" x14ac:dyDescent="0.3"/>
    <row r="101" ht="25.15" customHeight="1" x14ac:dyDescent="0.3"/>
    <row r="102" ht="25.15" customHeight="1" x14ac:dyDescent="0.3"/>
    <row r="103" ht="25.15" customHeight="1" x14ac:dyDescent="0.3"/>
    <row r="104" ht="25.15" customHeight="1" x14ac:dyDescent="0.3"/>
    <row r="105" ht="25.15" customHeight="1" x14ac:dyDescent="0.3"/>
    <row r="106" ht="25.15" customHeight="1" x14ac:dyDescent="0.3"/>
    <row r="107" ht="25.15" customHeight="1" x14ac:dyDescent="0.3"/>
    <row r="108" ht="25.15" customHeight="1" x14ac:dyDescent="0.3"/>
    <row r="109" ht="25.15" customHeight="1" x14ac:dyDescent="0.3"/>
    <row r="110" ht="25.15" customHeight="1" x14ac:dyDescent="0.3"/>
    <row r="111" ht="25.15" customHeight="1" x14ac:dyDescent="0.3"/>
    <row r="112" ht="25.15" customHeight="1" x14ac:dyDescent="0.3"/>
    <row r="113" ht="25.15" customHeight="1" x14ac:dyDescent="0.3"/>
    <row r="114" ht="25.15" customHeight="1" x14ac:dyDescent="0.3"/>
    <row r="115" ht="25.15" customHeight="1" x14ac:dyDescent="0.3"/>
    <row r="116" ht="25.15" customHeight="1" x14ac:dyDescent="0.3"/>
    <row r="117" ht="25.15" customHeight="1" x14ac:dyDescent="0.3"/>
    <row r="118" ht="25.15" customHeight="1" x14ac:dyDescent="0.3"/>
    <row r="119" ht="25.15" customHeight="1" x14ac:dyDescent="0.3"/>
    <row r="120" ht="25.15" customHeight="1" x14ac:dyDescent="0.3"/>
    <row r="121" ht="25.15" customHeight="1" x14ac:dyDescent="0.3"/>
    <row r="122" ht="25.15" customHeight="1" x14ac:dyDescent="0.3"/>
    <row r="123" ht="25.15" customHeight="1" x14ac:dyDescent="0.3"/>
    <row r="124" ht="25.15" customHeight="1" x14ac:dyDescent="0.3"/>
    <row r="125" ht="25.15" customHeight="1" x14ac:dyDescent="0.3"/>
    <row r="126" ht="25.15" customHeight="1" x14ac:dyDescent="0.3"/>
    <row r="127" ht="25.15" customHeight="1" x14ac:dyDescent="0.3"/>
    <row r="128" ht="25.15" customHeight="1" x14ac:dyDescent="0.3"/>
    <row r="129" ht="25.15" customHeight="1" x14ac:dyDescent="0.3"/>
    <row r="130" ht="25.15" customHeight="1" x14ac:dyDescent="0.3"/>
    <row r="131" ht="25.15" customHeight="1" x14ac:dyDescent="0.3"/>
    <row r="132" ht="25.15" customHeight="1" x14ac:dyDescent="0.3"/>
    <row r="133" ht="25.15" customHeight="1" x14ac:dyDescent="0.3"/>
    <row r="134" ht="25.15" customHeight="1" x14ac:dyDescent="0.3"/>
    <row r="135" ht="25.15" customHeight="1" x14ac:dyDescent="0.3"/>
    <row r="136" ht="25.15" customHeight="1" x14ac:dyDescent="0.3"/>
    <row r="137" ht="25.15" customHeight="1" x14ac:dyDescent="0.3"/>
    <row r="138" ht="25.15" customHeight="1" x14ac:dyDescent="0.3"/>
    <row r="139" ht="25.15" customHeight="1" x14ac:dyDescent="0.3"/>
    <row r="140" ht="25.15" customHeight="1" x14ac:dyDescent="0.3"/>
    <row r="141" ht="25.15" customHeight="1" x14ac:dyDescent="0.3"/>
    <row r="142" ht="25.15" customHeight="1" x14ac:dyDescent="0.3"/>
    <row r="143" ht="25.15" customHeight="1" x14ac:dyDescent="0.3"/>
    <row r="144" ht="25.15" customHeight="1" x14ac:dyDescent="0.3"/>
    <row r="145" ht="25.15" customHeight="1" x14ac:dyDescent="0.3"/>
    <row r="146" ht="25.15" customHeight="1" x14ac:dyDescent="0.3"/>
    <row r="147" ht="25.15" customHeight="1" x14ac:dyDescent="0.3"/>
    <row r="148" ht="25.15" customHeight="1" x14ac:dyDescent="0.3"/>
    <row r="149" ht="25.15" customHeight="1" x14ac:dyDescent="0.3"/>
    <row r="150" ht="25.15" customHeight="1" x14ac:dyDescent="0.3"/>
    <row r="151" ht="25.15" customHeight="1" x14ac:dyDescent="0.3"/>
    <row r="152" ht="25.15" customHeight="1" x14ac:dyDescent="0.3"/>
    <row r="153" ht="25.15" customHeight="1" x14ac:dyDescent="0.3"/>
    <row r="154" ht="25.15" customHeight="1" x14ac:dyDescent="0.3"/>
    <row r="155" ht="25.15" customHeight="1" x14ac:dyDescent="0.3"/>
    <row r="156" ht="25.15" customHeight="1" x14ac:dyDescent="0.3"/>
    <row r="157" ht="25.15" customHeight="1" x14ac:dyDescent="0.3"/>
    <row r="158" ht="25.15" customHeight="1" x14ac:dyDescent="0.3"/>
    <row r="159" ht="25.15" customHeight="1" x14ac:dyDescent="0.3"/>
    <row r="160" ht="25.15" customHeight="1" x14ac:dyDescent="0.3"/>
    <row r="161" ht="25.15" customHeight="1" x14ac:dyDescent="0.3"/>
    <row r="162" ht="25.15" customHeight="1" x14ac:dyDescent="0.3"/>
    <row r="163" ht="25.15" customHeight="1" x14ac:dyDescent="0.3"/>
    <row r="164" ht="25.15" customHeight="1" x14ac:dyDescent="0.3"/>
    <row r="165" ht="25.15" customHeight="1" x14ac:dyDescent="0.3"/>
    <row r="166" ht="25.15" customHeight="1" x14ac:dyDescent="0.3"/>
    <row r="167" ht="25.15" customHeight="1" x14ac:dyDescent="0.3"/>
    <row r="168" ht="25.15" customHeight="1" x14ac:dyDescent="0.3"/>
    <row r="169" ht="25.15" customHeight="1" x14ac:dyDescent="0.3"/>
    <row r="170" ht="25.15" customHeight="1" x14ac:dyDescent="0.3"/>
    <row r="171" ht="25.15" customHeight="1" x14ac:dyDescent="0.3"/>
    <row r="172" ht="25.15" customHeight="1" x14ac:dyDescent="0.3"/>
    <row r="173" ht="25.15" customHeight="1" x14ac:dyDescent="0.3"/>
    <row r="174" ht="25.15" customHeight="1" x14ac:dyDescent="0.3"/>
    <row r="175" ht="25.15" customHeight="1" x14ac:dyDescent="0.3"/>
    <row r="176" ht="25.15" customHeight="1" x14ac:dyDescent="0.3"/>
    <row r="177" ht="25.15" customHeight="1" x14ac:dyDescent="0.3"/>
    <row r="178" ht="25.15" customHeight="1" x14ac:dyDescent="0.3"/>
    <row r="179" ht="25.15" customHeight="1" x14ac:dyDescent="0.3"/>
    <row r="180" ht="25.15" customHeight="1" x14ac:dyDescent="0.3"/>
    <row r="181" ht="25.15" customHeight="1" x14ac:dyDescent="0.3"/>
    <row r="182" ht="25.15" customHeight="1" x14ac:dyDescent="0.3"/>
    <row r="183" ht="25.15" customHeight="1" x14ac:dyDescent="0.3"/>
    <row r="184" ht="25.15" customHeight="1" x14ac:dyDescent="0.3"/>
    <row r="185" ht="25.15" customHeight="1" x14ac:dyDescent="0.3"/>
    <row r="186" ht="25.15" customHeight="1" x14ac:dyDescent="0.3"/>
    <row r="187" ht="25.15" customHeight="1" x14ac:dyDescent="0.3"/>
    <row r="188" ht="25.15" customHeight="1" x14ac:dyDescent="0.3"/>
    <row r="189" ht="25.15" customHeight="1" x14ac:dyDescent="0.3"/>
    <row r="190" ht="25.15" customHeight="1" x14ac:dyDescent="0.3"/>
    <row r="191" ht="25.15" customHeight="1" x14ac:dyDescent="0.3"/>
    <row r="192" ht="25.15" customHeight="1" x14ac:dyDescent="0.3"/>
    <row r="193" ht="25.15" customHeight="1" x14ac:dyDescent="0.3"/>
    <row r="194" ht="25.15" customHeight="1" x14ac:dyDescent="0.3"/>
    <row r="195" ht="25.15" customHeight="1" x14ac:dyDescent="0.3"/>
    <row r="196" ht="25.15" customHeight="1" x14ac:dyDescent="0.3"/>
    <row r="197" ht="25.15" customHeight="1" x14ac:dyDescent="0.3"/>
    <row r="198" ht="25.15" customHeight="1" x14ac:dyDescent="0.3"/>
    <row r="199" ht="25.15" customHeight="1" x14ac:dyDescent="0.3"/>
    <row r="200" ht="25.15" customHeight="1" x14ac:dyDescent="0.3"/>
    <row r="201" ht="25.15" customHeight="1" x14ac:dyDescent="0.3"/>
    <row r="202" ht="25.15" customHeight="1" x14ac:dyDescent="0.3"/>
    <row r="203" ht="25.15" customHeight="1" x14ac:dyDescent="0.3"/>
    <row r="204" ht="25.15" customHeight="1" x14ac:dyDescent="0.3"/>
    <row r="205" ht="25.15" customHeight="1" x14ac:dyDescent="0.3"/>
    <row r="206" ht="25.15" customHeight="1" x14ac:dyDescent="0.3"/>
    <row r="207" ht="25.15" customHeight="1" x14ac:dyDescent="0.3"/>
    <row r="208" ht="25.15" customHeight="1" x14ac:dyDescent="0.3"/>
    <row r="209" ht="25.15" customHeight="1" x14ac:dyDescent="0.3"/>
    <row r="210" ht="25.15" customHeight="1" x14ac:dyDescent="0.3"/>
    <row r="211" ht="25.15" customHeight="1" x14ac:dyDescent="0.3"/>
    <row r="212" ht="25.15" customHeight="1" x14ac:dyDescent="0.3"/>
    <row r="213" ht="25.15" customHeight="1" x14ac:dyDescent="0.3"/>
    <row r="214" ht="25.15" customHeight="1" x14ac:dyDescent="0.3"/>
    <row r="215" ht="25.15" customHeight="1" x14ac:dyDescent="0.3"/>
    <row r="216" ht="25.15" customHeight="1" x14ac:dyDescent="0.3"/>
    <row r="217" ht="25.15" customHeight="1" x14ac:dyDescent="0.3"/>
    <row r="218" ht="25.15" customHeight="1" x14ac:dyDescent="0.3"/>
    <row r="219" ht="25.15" customHeight="1" x14ac:dyDescent="0.3"/>
    <row r="220" ht="25.15" customHeight="1" x14ac:dyDescent="0.3"/>
    <row r="221" ht="25.15" customHeight="1" x14ac:dyDescent="0.3"/>
    <row r="222" ht="25.15" customHeight="1" x14ac:dyDescent="0.3"/>
    <row r="223" ht="25.15" customHeight="1" x14ac:dyDescent="0.3"/>
    <row r="224" ht="25.15" customHeight="1" x14ac:dyDescent="0.3"/>
    <row r="225" ht="25.15" customHeight="1" x14ac:dyDescent="0.3"/>
    <row r="226" ht="25.15" customHeight="1" x14ac:dyDescent="0.3"/>
    <row r="227" ht="25.15" customHeight="1" x14ac:dyDescent="0.3"/>
    <row r="228" ht="25.15" customHeight="1" x14ac:dyDescent="0.3"/>
    <row r="229" ht="25.15" customHeight="1" x14ac:dyDescent="0.3"/>
    <row r="230" ht="25.15" customHeight="1" x14ac:dyDescent="0.3"/>
    <row r="231" ht="25.15" customHeight="1" x14ac:dyDescent="0.3"/>
    <row r="232" ht="25.15" customHeight="1" x14ac:dyDescent="0.3"/>
    <row r="233" ht="25.15" customHeight="1" x14ac:dyDescent="0.3"/>
    <row r="234" ht="25.15" customHeight="1" x14ac:dyDescent="0.3"/>
    <row r="235" ht="25.15" customHeight="1" x14ac:dyDescent="0.3"/>
    <row r="236" ht="25.15" customHeight="1" x14ac:dyDescent="0.3"/>
    <row r="237" ht="25.15" customHeight="1" x14ac:dyDescent="0.3"/>
    <row r="238" ht="25.15" customHeight="1" x14ac:dyDescent="0.3"/>
    <row r="239" ht="25.15" customHeight="1" x14ac:dyDescent="0.3"/>
    <row r="240" ht="25.15" customHeight="1" x14ac:dyDescent="0.3"/>
    <row r="241" ht="25.15" customHeight="1" x14ac:dyDescent="0.3"/>
    <row r="242" ht="25.15" customHeight="1" x14ac:dyDescent="0.3"/>
    <row r="243" ht="25.15" customHeight="1" x14ac:dyDescent="0.3"/>
    <row r="244" ht="25.15" customHeight="1" x14ac:dyDescent="0.3"/>
    <row r="245" ht="25.15" customHeight="1" x14ac:dyDescent="0.3"/>
    <row r="246" ht="25.15" customHeight="1" x14ac:dyDescent="0.3"/>
    <row r="247" ht="25.15" customHeight="1" x14ac:dyDescent="0.3"/>
    <row r="248" ht="25.15" customHeight="1" x14ac:dyDescent="0.3"/>
    <row r="249" ht="25.15" customHeight="1" x14ac:dyDescent="0.3"/>
    <row r="250" ht="25.15" customHeight="1" x14ac:dyDescent="0.3"/>
    <row r="251" ht="25.15" customHeight="1" x14ac:dyDescent="0.3"/>
    <row r="252" ht="25.15" customHeight="1" x14ac:dyDescent="0.3"/>
    <row r="253" ht="25.15" customHeight="1" x14ac:dyDescent="0.3"/>
    <row r="254" ht="25.15" customHeight="1" x14ac:dyDescent="0.3"/>
    <row r="255" ht="25.15" customHeight="1" x14ac:dyDescent="0.3"/>
    <row r="256" ht="25.15" customHeight="1" x14ac:dyDescent="0.3"/>
    <row r="257" ht="25.15" customHeight="1" x14ac:dyDescent="0.3"/>
    <row r="258" ht="25.15" customHeight="1" x14ac:dyDescent="0.3"/>
    <row r="259" ht="25.15" customHeight="1" x14ac:dyDescent="0.3"/>
    <row r="260" ht="25.15" customHeight="1" x14ac:dyDescent="0.3"/>
    <row r="261" ht="25.15" customHeight="1" x14ac:dyDescent="0.3"/>
    <row r="262" ht="25.15" customHeight="1" x14ac:dyDescent="0.3"/>
    <row r="263" ht="25.15" customHeight="1" x14ac:dyDescent="0.3"/>
    <row r="264" ht="25.15" customHeight="1" x14ac:dyDescent="0.3"/>
    <row r="265" ht="25.15" customHeight="1" x14ac:dyDescent="0.3"/>
    <row r="266" ht="25.15" customHeight="1" x14ac:dyDescent="0.3"/>
    <row r="267" ht="25.15" customHeight="1" x14ac:dyDescent="0.3"/>
    <row r="268" ht="25.15" customHeight="1" x14ac:dyDescent="0.3"/>
    <row r="269" ht="25.15" customHeight="1" x14ac:dyDescent="0.3"/>
    <row r="270" ht="25.15" customHeight="1" x14ac:dyDescent="0.3"/>
    <row r="271" ht="25.15" customHeight="1" x14ac:dyDescent="0.3"/>
    <row r="272" ht="25.15" customHeight="1" x14ac:dyDescent="0.3"/>
    <row r="273" ht="25.15" customHeight="1" x14ac:dyDescent="0.3"/>
    <row r="274" ht="25.15" customHeight="1" x14ac:dyDescent="0.3"/>
    <row r="275" ht="25.15" customHeight="1" x14ac:dyDescent="0.3"/>
    <row r="276" ht="25.15" customHeight="1" x14ac:dyDescent="0.3"/>
    <row r="277" ht="25.15" customHeight="1" x14ac:dyDescent="0.3"/>
  </sheetData>
  <phoneticPr fontId="0" type="noConversion"/>
  <hyperlinks>
    <hyperlink ref="E4" location="WELCOME!A1" display="&amp;"/>
    <hyperlink ref="E5" location="DATA!A1" display="&amp;"/>
    <hyperlink ref="E6" location="Survey!A1" display="&amp;"/>
    <hyperlink ref="E7" location="UmsatzMonat!A1" display="&amp;"/>
    <hyperlink ref="E8" location="TrendMonat!A1" display="&amp;"/>
    <hyperlink ref="E9" location="TrendJahr!A1" display="&amp;"/>
    <hyperlink ref="E10" location="AbweichungMonat!A1" display="&amp;"/>
    <hyperlink ref="E11" location="AbweichungJahr!A1" display="&amp;"/>
    <hyperlink ref="E12" location="JahrOffen!A1" display="&amp;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31"/>
  <sheetViews>
    <sheetView showGridLines="0" workbookViewId="0">
      <selection activeCell="A2" sqref="A2:H2"/>
    </sheetView>
  </sheetViews>
  <sheetFormatPr baseColWidth="10" defaultRowHeight="12.5" x14ac:dyDescent="0.25"/>
  <cols>
    <col min="1" max="1" width="17.7265625" customWidth="1"/>
    <col min="2" max="2" width="15.26953125" customWidth="1"/>
    <col min="3" max="3" width="9.7265625" customWidth="1"/>
    <col min="4" max="4" width="14.1796875" customWidth="1"/>
    <col min="5" max="5" width="7.81640625" customWidth="1"/>
    <col min="6" max="6" width="6.54296875" customWidth="1"/>
    <col min="7" max="7" width="14.26953125" customWidth="1"/>
    <col min="10" max="10" width="6.26953125" customWidth="1"/>
    <col min="12" max="12" width="3.54296875" customWidth="1"/>
  </cols>
  <sheetData>
    <row r="1" spans="1:8" ht="23" x14ac:dyDescent="0.5">
      <c r="A1" s="57" t="s">
        <v>0</v>
      </c>
      <c r="B1" s="58"/>
      <c r="C1" s="58"/>
      <c r="D1" s="58"/>
      <c r="E1" s="58"/>
      <c r="F1" s="58"/>
      <c r="G1" s="58"/>
      <c r="H1" s="58"/>
    </row>
    <row r="2" spans="1:8" ht="89.5" customHeight="1" x14ac:dyDescent="0.25">
      <c r="A2" s="116" t="s">
        <v>25</v>
      </c>
      <c r="B2" s="116"/>
      <c r="C2" s="116"/>
      <c r="D2" s="116"/>
      <c r="E2" s="116"/>
      <c r="F2" s="116"/>
      <c r="G2" s="116"/>
      <c r="H2" s="116"/>
    </row>
    <row r="5" spans="1:8" ht="13" x14ac:dyDescent="0.3">
      <c r="A5" s="4" t="s">
        <v>2</v>
      </c>
      <c r="B5" s="7" t="s">
        <v>4</v>
      </c>
      <c r="C5" s="12"/>
      <c r="D5" s="8"/>
    </row>
    <row r="6" spans="1:8" ht="13" x14ac:dyDescent="0.3">
      <c r="A6" s="4"/>
      <c r="B6" s="4"/>
      <c r="C6" s="4"/>
      <c r="D6" s="4"/>
    </row>
    <row r="7" spans="1:8" ht="13" x14ac:dyDescent="0.3">
      <c r="A7" s="4" t="s">
        <v>6</v>
      </c>
      <c r="B7" s="9">
        <v>42005</v>
      </c>
      <c r="C7" s="6">
        <f>YEAR(B7)</f>
        <v>2015</v>
      </c>
      <c r="D7" s="6">
        <f>IF(MOD(C7,4)=0,0,1)</f>
        <v>1</v>
      </c>
    </row>
    <row r="8" spans="1:8" ht="13" x14ac:dyDescent="0.3">
      <c r="A8" s="4"/>
      <c r="B8" s="10"/>
      <c r="C8" s="4"/>
      <c r="D8" s="4"/>
    </row>
    <row r="9" spans="1:8" ht="13" x14ac:dyDescent="0.3">
      <c r="A9" s="4" t="s">
        <v>3</v>
      </c>
      <c r="B9" s="11" t="s">
        <v>5</v>
      </c>
      <c r="C9" s="4"/>
      <c r="D9" s="4"/>
    </row>
    <row r="10" spans="1:8" ht="13" x14ac:dyDescent="0.3">
      <c r="A10" s="4"/>
      <c r="B10" s="10"/>
      <c r="C10" s="4"/>
      <c r="D10" s="4"/>
    </row>
    <row r="11" spans="1:8" ht="13" hidden="1" x14ac:dyDescent="0.3">
      <c r="A11" s="4"/>
      <c r="B11" s="4"/>
      <c r="C11" s="4"/>
      <c r="D11" s="4"/>
    </row>
    <row r="12" spans="1:8" ht="13" hidden="1" x14ac:dyDescent="0.3">
      <c r="A12" s="4"/>
      <c r="B12" s="4"/>
      <c r="C12" s="4"/>
      <c r="D12" s="4"/>
    </row>
    <row r="13" spans="1:8" hidden="1" x14ac:dyDescent="0.25"/>
    <row r="14" spans="1:8" hidden="1" x14ac:dyDescent="0.25"/>
    <row r="16" spans="1:8" ht="13" x14ac:dyDescent="0.25">
      <c r="B16" s="1" t="s">
        <v>7</v>
      </c>
      <c r="D16" s="1" t="s">
        <v>8</v>
      </c>
    </row>
    <row r="18" spans="1:8" ht="13" x14ac:dyDescent="0.3">
      <c r="A18" s="2">
        <f>B7</f>
        <v>42005</v>
      </c>
      <c r="B18" s="3">
        <v>70000</v>
      </c>
      <c r="C18" s="4"/>
      <c r="D18" s="5">
        <v>87354</v>
      </c>
      <c r="E18" s="4"/>
      <c r="H18" s="4"/>
    </row>
    <row r="19" spans="1:8" ht="13" x14ac:dyDescent="0.3">
      <c r="A19" s="2">
        <f>A18+31</f>
        <v>42036</v>
      </c>
      <c r="B19" s="3">
        <v>210000</v>
      </c>
      <c r="C19" s="4"/>
      <c r="D19" s="5">
        <v>93467</v>
      </c>
      <c r="E19" s="4"/>
      <c r="H19" s="4"/>
    </row>
    <row r="20" spans="1:8" ht="13" x14ac:dyDescent="0.3">
      <c r="A20" s="2">
        <f>IF(D7=0,A19+29,A19+28)</f>
        <v>42064</v>
      </c>
      <c r="B20" s="3">
        <v>180000</v>
      </c>
      <c r="C20" s="4"/>
      <c r="D20" s="5">
        <v>227174</v>
      </c>
      <c r="E20" s="4"/>
      <c r="H20" s="4"/>
    </row>
    <row r="21" spans="1:8" ht="13" x14ac:dyDescent="0.3">
      <c r="A21" s="2">
        <f>A20+31</f>
        <v>42095</v>
      </c>
      <c r="B21" s="3">
        <v>93000</v>
      </c>
      <c r="C21" s="4"/>
      <c r="D21" s="5"/>
      <c r="E21" s="4"/>
      <c r="H21" s="4"/>
    </row>
    <row r="22" spans="1:8" ht="13" x14ac:dyDescent="0.3">
      <c r="A22" s="2">
        <f>A21+30</f>
        <v>42125</v>
      </c>
      <c r="B22" s="3">
        <v>320000</v>
      </c>
      <c r="C22" s="4"/>
      <c r="D22" s="5"/>
      <c r="E22" s="4"/>
      <c r="H22" s="4"/>
    </row>
    <row r="23" spans="1:8" ht="13" x14ac:dyDescent="0.3">
      <c r="A23" s="2">
        <f>A22+31</f>
        <v>42156</v>
      </c>
      <c r="B23" s="3">
        <v>120000</v>
      </c>
      <c r="C23" s="4"/>
      <c r="D23" s="5"/>
      <c r="E23" s="4"/>
      <c r="H23" s="4"/>
    </row>
    <row r="24" spans="1:8" ht="13" x14ac:dyDescent="0.3">
      <c r="A24" s="2">
        <f>A23+30</f>
        <v>42186</v>
      </c>
      <c r="B24" s="3">
        <v>80000</v>
      </c>
      <c r="C24" s="4"/>
      <c r="D24" s="5"/>
      <c r="E24" s="4"/>
      <c r="H24" s="4"/>
    </row>
    <row r="25" spans="1:8" ht="13" x14ac:dyDescent="0.3">
      <c r="A25" s="2">
        <f>A24+31</f>
        <v>42217</v>
      </c>
      <c r="B25" s="3">
        <v>50000</v>
      </c>
      <c r="C25" s="4"/>
      <c r="D25" s="5"/>
      <c r="E25" s="4"/>
      <c r="H25" s="4"/>
    </row>
    <row r="26" spans="1:8" ht="13" x14ac:dyDescent="0.3">
      <c r="A26" s="2">
        <f>A25+31</f>
        <v>42248</v>
      </c>
      <c r="B26" s="3">
        <v>220000</v>
      </c>
      <c r="C26" s="4"/>
      <c r="D26" s="5"/>
      <c r="E26" s="4"/>
      <c r="H26" s="4"/>
    </row>
    <row r="27" spans="1:8" ht="13" x14ac:dyDescent="0.3">
      <c r="A27" s="2">
        <f>A26+30</f>
        <v>42278</v>
      </c>
      <c r="B27" s="3">
        <v>250000</v>
      </c>
      <c r="C27" s="4"/>
      <c r="D27" s="5"/>
      <c r="E27" s="4"/>
      <c r="H27" s="4"/>
    </row>
    <row r="28" spans="1:8" ht="13" x14ac:dyDescent="0.3">
      <c r="A28" s="2">
        <f>A27+31</f>
        <v>42309</v>
      </c>
      <c r="B28" s="3">
        <v>220000</v>
      </c>
      <c r="C28" s="4"/>
      <c r="D28" s="5"/>
      <c r="E28" s="4"/>
      <c r="H28" s="4"/>
    </row>
    <row r="29" spans="1:8" ht="13" x14ac:dyDescent="0.3">
      <c r="A29" s="2">
        <f>A28+30</f>
        <v>42339</v>
      </c>
      <c r="B29" s="3">
        <v>105000</v>
      </c>
      <c r="C29" s="4"/>
      <c r="D29" s="5"/>
      <c r="E29" s="4"/>
      <c r="H29" s="4"/>
    </row>
    <row r="31" spans="1:8" ht="13" x14ac:dyDescent="0.3">
      <c r="A31" s="10" t="s">
        <v>11</v>
      </c>
      <c r="B31" s="14">
        <f>SUM(B18:B30)</f>
        <v>1918000</v>
      </c>
      <c r="D31" s="14">
        <f>SUM(D18:D30)</f>
        <v>407995</v>
      </c>
    </row>
  </sheetData>
  <mergeCells count="1">
    <mergeCell ref="A2:H2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zoomScale="85" workbookViewId="0"/>
  </sheetViews>
  <sheetFormatPr baseColWidth="10" defaultRowHeight="12.5" x14ac:dyDescent="0.25"/>
  <cols>
    <col min="1" max="1" width="8.453125" customWidth="1"/>
    <col min="2" max="2" width="15.26953125" customWidth="1"/>
    <col min="3" max="3" width="1.54296875" customWidth="1"/>
    <col min="4" max="4" width="14.1796875" customWidth="1"/>
    <col min="5" max="5" width="6.81640625" customWidth="1"/>
    <col min="6" max="6" width="2.453125" customWidth="1"/>
    <col min="7" max="7" width="6.54296875" customWidth="1"/>
    <col min="9" max="9" width="7.26953125" customWidth="1"/>
    <col min="10" max="10" width="6" customWidth="1"/>
    <col min="11" max="11" width="13.1796875" customWidth="1"/>
    <col min="12" max="12" width="3" customWidth="1"/>
    <col min="13" max="13" width="13.1796875" customWidth="1"/>
    <col min="14" max="14" width="3.54296875" customWidth="1"/>
    <col min="15" max="15" width="13.54296875" customWidth="1"/>
    <col min="16" max="16" width="5.453125" customWidth="1"/>
    <col min="17" max="17" width="14.7265625" customWidth="1"/>
  </cols>
  <sheetData>
    <row r="1" spans="1:17" s="19" customFormat="1" ht="16" thickBot="1" x14ac:dyDescent="0.4">
      <c r="A1" s="89" t="s">
        <v>14</v>
      </c>
      <c r="B1" s="89"/>
      <c r="C1" s="89"/>
      <c r="D1" s="89"/>
      <c r="E1" s="89"/>
      <c r="F1" s="89"/>
      <c r="G1" s="90" t="s">
        <v>1</v>
      </c>
      <c r="H1" s="91">
        <f>DATA!C7</f>
        <v>2015</v>
      </c>
      <c r="I1" s="91"/>
      <c r="J1" s="89"/>
      <c r="K1" s="91" t="str">
        <f>DATA!A5</f>
        <v>Firma:</v>
      </c>
      <c r="L1" s="89"/>
      <c r="M1" s="89"/>
      <c r="N1" s="89"/>
      <c r="O1" s="92" t="str">
        <f>DATA!$B$5</f>
        <v>Meulenburger &amp; Trapp KG</v>
      </c>
      <c r="Q1" s="84" t="str">
        <f>Navigation!$A$1</f>
        <v>Sell me more!</v>
      </c>
    </row>
    <row r="2" spans="1:17" ht="13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4" x14ac:dyDescent="0.3">
      <c r="A3" s="93" t="str">
        <f>DATA!$A$9</f>
        <v>Berichtswährung:</v>
      </c>
      <c r="B3" s="4"/>
      <c r="C3" s="94" t="str">
        <f>DATA!$B$9</f>
        <v>SF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3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idden="1" x14ac:dyDescent="0.25"/>
    <row r="6" spans="1:17" hidden="1" x14ac:dyDescent="0.25"/>
    <row r="7" spans="1:17" hidden="1" x14ac:dyDescent="0.25"/>
    <row r="8" spans="1:17" hidden="1" x14ac:dyDescent="0.25"/>
    <row r="9" spans="1:17" hidden="1" x14ac:dyDescent="0.25"/>
    <row r="10" spans="1:17" hidden="1" x14ac:dyDescent="0.25"/>
    <row r="11" spans="1:17" hidden="1" x14ac:dyDescent="0.25"/>
    <row r="12" spans="1:17" hidden="1" x14ac:dyDescent="0.25"/>
    <row r="13" spans="1:17" s="18" customFormat="1" ht="13" hidden="1" x14ac:dyDescent="0.3">
      <c r="C13" s="17"/>
      <c r="D13" s="17"/>
      <c r="E13" s="17"/>
    </row>
    <row r="14" spans="1:17" s="18" customFormat="1" ht="13" hidden="1" x14ac:dyDescent="0.3">
      <c r="A14" s="17"/>
      <c r="B14" s="17"/>
      <c r="C14" s="17"/>
      <c r="D14" s="17"/>
      <c r="E14" s="17"/>
    </row>
    <row r="16" spans="1:17" s="22" customFormat="1" ht="26" x14ac:dyDescent="0.3">
      <c r="B16" s="23" t="str">
        <f>DATA!B16</f>
        <v>PLAN-UMSATZ</v>
      </c>
      <c r="D16" s="23" t="str">
        <f>DATA!D16</f>
        <v>IST-UMSATZ</v>
      </c>
      <c r="E16" s="86"/>
      <c r="G16" s="23" t="s">
        <v>12</v>
      </c>
      <c r="H16" s="23" t="s">
        <v>15</v>
      </c>
      <c r="I16" s="86"/>
      <c r="K16" s="23" t="s">
        <v>9</v>
      </c>
      <c r="L16" s="24"/>
      <c r="M16" s="23" t="s">
        <v>10</v>
      </c>
      <c r="O16" s="23" t="s">
        <v>13</v>
      </c>
    </row>
    <row r="18" spans="1:15" ht="27" x14ac:dyDescent="0.5">
      <c r="A18" s="2">
        <f>DATA!A18</f>
        <v>42005</v>
      </c>
      <c r="B18" s="16">
        <f>DATA!B18</f>
        <v>70000</v>
      </c>
      <c r="C18" s="20"/>
      <c r="D18" s="16">
        <f>DATA!D18</f>
        <v>87354</v>
      </c>
      <c r="E18" s="88" t="str">
        <f>IF(D18=0,"",IF($D18&lt;B18,"N",IF($D18&gt;B18,"P","")))</f>
        <v>P</v>
      </c>
      <c r="F18" s="4"/>
      <c r="G18" s="15">
        <f t="shared" ref="G18:G29" si="0">IF(D18&gt;0,(D18-B18)/B18,0)</f>
        <v>0.24791428571428573</v>
      </c>
      <c r="H18" s="16">
        <f>IF(D18&gt;0,D18,0)</f>
        <v>87354</v>
      </c>
      <c r="I18" s="87"/>
      <c r="J18" s="4"/>
      <c r="K18" s="13">
        <f>B18</f>
        <v>70000</v>
      </c>
      <c r="L18" s="4"/>
      <c r="M18" s="13">
        <f>D18</f>
        <v>87354</v>
      </c>
      <c r="O18" s="13">
        <f>H18</f>
        <v>87354</v>
      </c>
    </row>
    <row r="19" spans="1:15" ht="27" x14ac:dyDescent="0.5">
      <c r="A19" s="2">
        <f>DATA!A19</f>
        <v>42036</v>
      </c>
      <c r="B19" s="16">
        <f>DATA!B19</f>
        <v>210000</v>
      </c>
      <c r="C19" s="20"/>
      <c r="D19" s="16">
        <f>DATA!D19</f>
        <v>93467</v>
      </c>
      <c r="E19" s="88" t="str">
        <f t="shared" ref="E19:E29" si="1">IF(D19=0,"",IF($D19&lt;B19,"N",IF($D19&gt;B19,"P","")))</f>
        <v>N</v>
      </c>
      <c r="F19" s="4"/>
      <c r="G19" s="15">
        <f t="shared" si="0"/>
        <v>-0.55491904761904765</v>
      </c>
      <c r="H19" s="16">
        <f t="shared" ref="H19:H29" si="2">IF(D19&gt;0,D19,B19+(B19*$G$31))</f>
        <v>93467</v>
      </c>
      <c r="I19" s="87"/>
      <c r="J19" s="4"/>
      <c r="K19" s="13">
        <f t="shared" ref="K19:K29" si="3">B19+K18</f>
        <v>280000</v>
      </c>
      <c r="L19" s="4"/>
      <c r="M19" s="13">
        <f t="shared" ref="M19:M29" si="4">D19+M18</f>
        <v>180821</v>
      </c>
      <c r="O19" s="13">
        <f t="shared" ref="O19:O29" si="5">H19+O18</f>
        <v>180821</v>
      </c>
    </row>
    <row r="20" spans="1:15" ht="27" x14ac:dyDescent="0.5">
      <c r="A20" s="2">
        <f>DATA!A20</f>
        <v>42064</v>
      </c>
      <c r="B20" s="16">
        <f>DATA!B20</f>
        <v>180000</v>
      </c>
      <c r="C20" s="20"/>
      <c r="D20" s="16">
        <f>DATA!D20</f>
        <v>227174</v>
      </c>
      <c r="E20" s="88" t="str">
        <f t="shared" si="1"/>
        <v>P</v>
      </c>
      <c r="F20" s="4"/>
      <c r="G20" s="15">
        <f t="shared" si="0"/>
        <v>0.2620777777777778</v>
      </c>
      <c r="H20" s="16">
        <f t="shared" si="2"/>
        <v>227174</v>
      </c>
      <c r="I20" s="87"/>
      <c r="J20" s="4"/>
      <c r="K20" s="13">
        <f t="shared" si="3"/>
        <v>460000</v>
      </c>
      <c r="L20" s="4"/>
      <c r="M20" s="13">
        <f t="shared" si="4"/>
        <v>407995</v>
      </c>
      <c r="O20" s="13">
        <f t="shared" si="5"/>
        <v>407995</v>
      </c>
    </row>
    <row r="21" spans="1:15" ht="27" x14ac:dyDescent="0.5">
      <c r="A21" s="2">
        <f>DATA!A21</f>
        <v>42095</v>
      </c>
      <c r="B21" s="16">
        <f>DATA!B21</f>
        <v>93000</v>
      </c>
      <c r="C21" s="20"/>
      <c r="D21" s="16">
        <f>DATA!D21</f>
        <v>0</v>
      </c>
      <c r="E21" s="88" t="str">
        <f t="shared" si="1"/>
        <v/>
      </c>
      <c r="F21" s="4"/>
      <c r="G21" s="15">
        <f t="shared" si="0"/>
        <v>0</v>
      </c>
      <c r="H21" s="16">
        <f t="shared" si="2"/>
        <v>91607.263492063488</v>
      </c>
      <c r="I21" s="87"/>
      <c r="J21" s="4"/>
      <c r="K21" s="13">
        <f t="shared" si="3"/>
        <v>553000</v>
      </c>
      <c r="L21" s="4"/>
      <c r="M21" s="13">
        <f t="shared" si="4"/>
        <v>407995</v>
      </c>
      <c r="O21" s="13">
        <f t="shared" si="5"/>
        <v>499602.2634920635</v>
      </c>
    </row>
    <row r="22" spans="1:15" ht="27" x14ac:dyDescent="0.5">
      <c r="A22" s="2">
        <f>DATA!A22</f>
        <v>42125</v>
      </c>
      <c r="B22" s="16">
        <f>DATA!B22</f>
        <v>320000</v>
      </c>
      <c r="C22" s="20"/>
      <c r="D22" s="16">
        <f>DATA!D22</f>
        <v>0</v>
      </c>
      <c r="E22" s="88" t="str">
        <f t="shared" si="1"/>
        <v/>
      </c>
      <c r="F22" s="4"/>
      <c r="G22" s="15">
        <f t="shared" si="0"/>
        <v>0</v>
      </c>
      <c r="H22" s="16">
        <f t="shared" si="2"/>
        <v>315207.78835978836</v>
      </c>
      <c r="I22" s="87"/>
      <c r="J22" s="4"/>
      <c r="K22" s="13">
        <f t="shared" si="3"/>
        <v>873000</v>
      </c>
      <c r="L22" s="4"/>
      <c r="M22" s="13">
        <f t="shared" si="4"/>
        <v>407995</v>
      </c>
      <c r="O22" s="13">
        <f t="shared" si="5"/>
        <v>814810.05185185187</v>
      </c>
    </row>
    <row r="23" spans="1:15" ht="27" x14ac:dyDescent="0.5">
      <c r="A23" s="2">
        <f>DATA!A23</f>
        <v>42156</v>
      </c>
      <c r="B23" s="16">
        <f>DATA!B23</f>
        <v>120000</v>
      </c>
      <c r="C23" s="20"/>
      <c r="D23" s="16">
        <f>DATA!D23</f>
        <v>0</v>
      </c>
      <c r="E23" s="88" t="str">
        <f t="shared" si="1"/>
        <v/>
      </c>
      <c r="F23" s="4"/>
      <c r="G23" s="15">
        <f t="shared" si="0"/>
        <v>0</v>
      </c>
      <c r="H23" s="16">
        <f t="shared" si="2"/>
        <v>118202.92063492064</v>
      </c>
      <c r="I23" s="87"/>
      <c r="J23" s="4"/>
      <c r="K23" s="13">
        <f t="shared" si="3"/>
        <v>993000</v>
      </c>
      <c r="L23" s="4"/>
      <c r="M23" s="13">
        <f t="shared" si="4"/>
        <v>407995</v>
      </c>
      <c r="O23" s="13">
        <f t="shared" si="5"/>
        <v>933012.97248677246</v>
      </c>
    </row>
    <row r="24" spans="1:15" ht="27" x14ac:dyDescent="0.5">
      <c r="A24" s="2">
        <f>DATA!A24</f>
        <v>42186</v>
      </c>
      <c r="B24" s="16">
        <f>DATA!B24</f>
        <v>80000</v>
      </c>
      <c r="C24" s="20"/>
      <c r="D24" s="16">
        <f>DATA!D24</f>
        <v>0</v>
      </c>
      <c r="E24" s="88" t="str">
        <f t="shared" si="1"/>
        <v/>
      </c>
      <c r="F24" s="4"/>
      <c r="G24" s="15">
        <f t="shared" si="0"/>
        <v>0</v>
      </c>
      <c r="H24" s="16">
        <f t="shared" si="2"/>
        <v>78801.947089947091</v>
      </c>
      <c r="I24" s="87"/>
      <c r="J24" s="4"/>
      <c r="K24" s="13">
        <f t="shared" si="3"/>
        <v>1073000</v>
      </c>
      <c r="L24" s="4"/>
      <c r="M24" s="13">
        <f t="shared" si="4"/>
        <v>407995</v>
      </c>
      <c r="O24" s="13">
        <f t="shared" si="5"/>
        <v>1011814.9195767195</v>
      </c>
    </row>
    <row r="25" spans="1:15" ht="27" x14ac:dyDescent="0.5">
      <c r="A25" s="2">
        <f>DATA!A25</f>
        <v>42217</v>
      </c>
      <c r="B25" s="16">
        <f>DATA!B25</f>
        <v>50000</v>
      </c>
      <c r="C25" s="20"/>
      <c r="D25" s="16">
        <f>DATA!D25</f>
        <v>0</v>
      </c>
      <c r="E25" s="88" t="str">
        <f t="shared" si="1"/>
        <v/>
      </c>
      <c r="F25" s="4"/>
      <c r="G25" s="15">
        <f t="shared" si="0"/>
        <v>0</v>
      </c>
      <c r="H25" s="16">
        <f t="shared" si="2"/>
        <v>49251.216931216935</v>
      </c>
      <c r="I25" s="87"/>
      <c r="J25" s="4"/>
      <c r="K25" s="13">
        <f t="shared" si="3"/>
        <v>1123000</v>
      </c>
      <c r="L25" s="4"/>
      <c r="M25" s="13">
        <f t="shared" si="4"/>
        <v>407995</v>
      </c>
      <c r="O25" s="13">
        <f t="shared" si="5"/>
        <v>1061066.1365079365</v>
      </c>
    </row>
    <row r="26" spans="1:15" ht="27" x14ac:dyDescent="0.5">
      <c r="A26" s="2">
        <f>DATA!A26</f>
        <v>42248</v>
      </c>
      <c r="B26" s="16">
        <f>DATA!B26</f>
        <v>220000</v>
      </c>
      <c r="C26" s="20"/>
      <c r="D26" s="16">
        <f>DATA!D26</f>
        <v>0</v>
      </c>
      <c r="E26" s="88" t="str">
        <f t="shared" si="1"/>
        <v/>
      </c>
      <c r="F26" s="4"/>
      <c r="G26" s="15">
        <f t="shared" si="0"/>
        <v>0</v>
      </c>
      <c r="H26" s="16">
        <f t="shared" si="2"/>
        <v>216705.35449735451</v>
      </c>
      <c r="I26" s="87"/>
      <c r="J26" s="4"/>
      <c r="K26" s="13">
        <f t="shared" si="3"/>
        <v>1343000</v>
      </c>
      <c r="L26" s="4"/>
      <c r="M26" s="13">
        <f t="shared" si="4"/>
        <v>407995</v>
      </c>
      <c r="O26" s="13">
        <f t="shared" si="5"/>
        <v>1277771.491005291</v>
      </c>
    </row>
    <row r="27" spans="1:15" ht="27" x14ac:dyDescent="0.5">
      <c r="A27" s="2">
        <f>DATA!A27</f>
        <v>42278</v>
      </c>
      <c r="B27" s="16">
        <f>DATA!B27</f>
        <v>250000</v>
      </c>
      <c r="C27" s="20"/>
      <c r="D27" s="16">
        <f>DATA!D27</f>
        <v>0</v>
      </c>
      <c r="E27" s="88" t="str">
        <f t="shared" si="1"/>
        <v/>
      </c>
      <c r="F27" s="4"/>
      <c r="G27" s="15">
        <f t="shared" si="0"/>
        <v>0</v>
      </c>
      <c r="H27" s="16">
        <f t="shared" si="2"/>
        <v>246256.08465608465</v>
      </c>
      <c r="I27" s="87"/>
      <c r="J27" s="4"/>
      <c r="K27" s="13">
        <f t="shared" si="3"/>
        <v>1593000</v>
      </c>
      <c r="L27" s="4"/>
      <c r="M27" s="13">
        <f t="shared" si="4"/>
        <v>407995</v>
      </c>
      <c r="O27" s="13">
        <f t="shared" si="5"/>
        <v>1524027.5756613757</v>
      </c>
    </row>
    <row r="28" spans="1:15" ht="27" x14ac:dyDescent="0.5">
      <c r="A28" s="2">
        <f>DATA!A28</f>
        <v>42309</v>
      </c>
      <c r="B28" s="16">
        <f>DATA!B28</f>
        <v>220000</v>
      </c>
      <c r="C28" s="20"/>
      <c r="D28" s="16">
        <f>DATA!D28</f>
        <v>0</v>
      </c>
      <c r="E28" s="88" t="str">
        <f t="shared" si="1"/>
        <v/>
      </c>
      <c r="F28" s="4"/>
      <c r="G28" s="15">
        <f t="shared" si="0"/>
        <v>0</v>
      </c>
      <c r="H28" s="16">
        <f t="shared" si="2"/>
        <v>216705.35449735451</v>
      </c>
      <c r="I28" s="87"/>
      <c r="J28" s="4"/>
      <c r="K28" s="13">
        <f t="shared" si="3"/>
        <v>1813000</v>
      </c>
      <c r="L28" s="4"/>
      <c r="M28" s="13">
        <f t="shared" si="4"/>
        <v>407995</v>
      </c>
      <c r="O28" s="13">
        <f t="shared" si="5"/>
        <v>1740732.9301587301</v>
      </c>
    </row>
    <row r="29" spans="1:15" ht="27" x14ac:dyDescent="0.5">
      <c r="A29" s="2">
        <f>DATA!A29</f>
        <v>42339</v>
      </c>
      <c r="B29" s="16">
        <f>DATA!B29</f>
        <v>105000</v>
      </c>
      <c r="C29" s="20"/>
      <c r="D29" s="16">
        <f>DATA!D29</f>
        <v>0</v>
      </c>
      <c r="E29" s="88" t="str">
        <f t="shared" si="1"/>
        <v/>
      </c>
      <c r="F29" s="4"/>
      <c r="G29" s="15">
        <f t="shared" si="0"/>
        <v>0</v>
      </c>
      <c r="H29" s="16">
        <f t="shared" si="2"/>
        <v>103427.55555555556</v>
      </c>
      <c r="I29" s="87"/>
      <c r="J29" s="4"/>
      <c r="K29" s="13">
        <f t="shared" si="3"/>
        <v>1918000</v>
      </c>
      <c r="L29" s="4"/>
      <c r="M29" s="13">
        <f t="shared" si="4"/>
        <v>407995</v>
      </c>
      <c r="O29" s="13">
        <f t="shared" si="5"/>
        <v>1844160.4857142856</v>
      </c>
    </row>
    <row r="30" spans="1:15" ht="5.5" customHeight="1" x14ac:dyDescent="0.25">
      <c r="B30" s="21"/>
      <c r="C30" s="21"/>
      <c r="D30" s="21"/>
      <c r="E30" s="21"/>
    </row>
    <row r="31" spans="1:15" ht="27" x14ac:dyDescent="0.5">
      <c r="A31" s="10" t="str">
        <f>DATA!A31</f>
        <v>Total</v>
      </c>
      <c r="B31" s="16">
        <f>SUM(B18:B30)</f>
        <v>1918000</v>
      </c>
      <c r="C31" s="21"/>
      <c r="D31" s="16">
        <f>SUM(D18:D30)</f>
        <v>407995</v>
      </c>
      <c r="E31" s="87"/>
      <c r="G31" s="15">
        <f>SUM(G18:G30)/COUNTIF(G18:G29,"&lt;&gt;0")</f>
        <v>-1.4975661375661364E-2</v>
      </c>
      <c r="H31" s="16">
        <f>SUM(H18:H29)</f>
        <v>1844160.4857142856</v>
      </c>
      <c r="I31" s="88" t="str">
        <f>IF(H31&lt;B31,"N",IF(H31&gt;B31,"P",""))</f>
        <v>N</v>
      </c>
    </row>
    <row r="32" spans="1:15" x14ac:dyDescent="0.25">
      <c r="B32" s="21"/>
      <c r="C32" s="21"/>
      <c r="D32" s="21"/>
      <c r="E32" s="21"/>
    </row>
  </sheetData>
  <phoneticPr fontId="3" type="noConversion"/>
  <conditionalFormatting sqref="E18:E29 I31">
    <cfRule type="cellIs" dxfId="2" priority="1" stopIfTrue="1" operator="equal">
      <formula>"M"</formula>
    </cfRule>
    <cfRule type="cellIs" dxfId="1" priority="2" stopIfTrue="1" operator="equal">
      <formula>"P"</formula>
    </cfRule>
    <cfRule type="cellIs" dxfId="0" priority="3" stopIfTrue="1" operator="equal">
      <formula>"N"</formula>
    </cfRule>
  </conditionalFormatting>
  <hyperlinks>
    <hyperlink ref="Q1" location="Navigation!A1" display="=Navigation!$A$1"/>
  </hyperlinks>
  <pageMargins left="0.78740157480314965" right="0.39370078740157483" top="0.78740157480314965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5"/>
  <sheetViews>
    <sheetView showGridLines="0" zoomScale="140" workbookViewId="0"/>
  </sheetViews>
  <sheetFormatPr baseColWidth="10" defaultColWidth="11.453125" defaultRowHeight="10" x14ac:dyDescent="0.2"/>
  <cols>
    <col min="1" max="1" width="2.7265625" style="26" customWidth="1"/>
    <col min="2" max="3" width="6.54296875" style="25" customWidth="1"/>
    <col min="4" max="13" width="6.54296875" style="26" customWidth="1"/>
    <col min="14" max="14" width="2.26953125" style="26" customWidth="1"/>
    <col min="15" max="15" width="16.7265625" style="26" customWidth="1"/>
    <col min="16" max="16384" width="11.453125" style="26"/>
  </cols>
  <sheetData>
    <row r="1" spans="1:27" ht="13" x14ac:dyDescent="0.3">
      <c r="A1" s="37" t="s">
        <v>17</v>
      </c>
      <c r="C1" s="30"/>
      <c r="D1" s="30"/>
      <c r="E1" s="30"/>
      <c r="G1" s="39" t="s">
        <v>1</v>
      </c>
      <c r="H1" s="38">
        <f>DATA!C7</f>
        <v>2015</v>
      </c>
      <c r="J1" s="33"/>
      <c r="K1" s="34"/>
      <c r="L1" s="34"/>
      <c r="M1" s="40" t="str">
        <f>DATA!$B$5</f>
        <v>Meulenburger &amp; Trapp KG</v>
      </c>
      <c r="AA1" s="26" t="s">
        <v>16</v>
      </c>
    </row>
    <row r="2" spans="1:27" x14ac:dyDescent="0.2">
      <c r="B2" s="30"/>
      <c r="C2" s="30"/>
      <c r="D2" s="30"/>
      <c r="E2" s="30"/>
      <c r="K2" s="30"/>
    </row>
    <row r="3" spans="1:27" x14ac:dyDescent="0.2">
      <c r="A3" s="54" t="str">
        <f>DATA!$A$9</f>
        <v>Berichtswährung:</v>
      </c>
      <c r="B3" s="55"/>
      <c r="D3" s="56" t="str">
        <f>DATA!$B$9</f>
        <v>SF</v>
      </c>
      <c r="E3" s="30"/>
      <c r="G3" s="111" t="s">
        <v>82</v>
      </c>
      <c r="H3" s="112">
        <f>AA19</f>
        <v>42064</v>
      </c>
      <c r="K3" s="30"/>
    </row>
    <row r="4" spans="1:27" x14ac:dyDescent="0.2">
      <c r="AA4" s="32">
        <v>3</v>
      </c>
    </row>
    <row r="5" spans="1:27" x14ac:dyDescent="0.2">
      <c r="A5" s="43"/>
      <c r="B5" s="41">
        <f>DATA!$A18</f>
        <v>42005</v>
      </c>
      <c r="C5" s="35">
        <f>DATA!$A19</f>
        <v>42036</v>
      </c>
      <c r="D5" s="35">
        <f>DATA!$A20</f>
        <v>42064</v>
      </c>
      <c r="E5" s="35">
        <f>DATA!$A21</f>
        <v>42095</v>
      </c>
      <c r="F5" s="35">
        <f>DATA!$A22</f>
        <v>42125</v>
      </c>
      <c r="G5" s="35">
        <f>DATA!$A23</f>
        <v>42156</v>
      </c>
      <c r="H5" s="35">
        <f>DATA!$A24</f>
        <v>42186</v>
      </c>
      <c r="I5" s="35">
        <f>DATA!$A25</f>
        <v>42217</v>
      </c>
      <c r="J5" s="35">
        <f>DATA!$A26</f>
        <v>42248</v>
      </c>
      <c r="K5" s="35">
        <f>DATA!$A27</f>
        <v>42278</v>
      </c>
      <c r="L5" s="35">
        <f>DATA!$A28</f>
        <v>42309</v>
      </c>
      <c r="M5" s="35">
        <f>DATA!$A29</f>
        <v>42339</v>
      </c>
    </row>
    <row r="6" spans="1:27" x14ac:dyDescent="0.2">
      <c r="A6" s="44" t="s">
        <v>18</v>
      </c>
      <c r="B6" s="42">
        <f>IF($AA$4&gt;=1,DATA!$D18,0)</f>
        <v>87354</v>
      </c>
      <c r="C6" s="36">
        <f>IF($AA$4&gt;1,DATA!$D19,0)</f>
        <v>93467</v>
      </c>
      <c r="D6" s="36">
        <f>IF($AA$4&gt;2,DATA!$D20,0)</f>
        <v>227174</v>
      </c>
      <c r="E6" s="36">
        <f>IF($AA$4&gt;3,DATA!$D21,0)</f>
        <v>0</v>
      </c>
      <c r="F6" s="36">
        <f>IF($AA$4&gt;4,DATA!$D22,0)</f>
        <v>0</v>
      </c>
      <c r="G6" s="36">
        <f>IF($AA$4&gt;5,DATA!$D23,0)</f>
        <v>0</v>
      </c>
      <c r="H6" s="36">
        <f>IF($AA$4&gt;6,DATA!$D24,0)</f>
        <v>0</v>
      </c>
      <c r="I6" s="36">
        <f>IF($AA$4&gt;7,DATA!$D25,0)</f>
        <v>0</v>
      </c>
      <c r="J6" s="36">
        <f>IF($AA$4&gt;8,DATA!$D26,0)</f>
        <v>0</v>
      </c>
      <c r="K6" s="36">
        <f>IF($AA$4&gt;9,DATA!$D27,0)</f>
        <v>0</v>
      </c>
      <c r="L6" s="36">
        <f>IF($AA$4&gt;10,DATA!$D28,0)</f>
        <v>0</v>
      </c>
      <c r="M6" s="36">
        <f>IF($AA$4&gt;11,DATA!$D29,0)</f>
        <v>0</v>
      </c>
      <c r="AA6" s="31">
        <f>DATA!A18</f>
        <v>42005</v>
      </c>
    </row>
    <row r="7" spans="1:27" x14ac:dyDescent="0.2">
      <c r="C7" s="28"/>
      <c r="D7" s="28"/>
      <c r="E7" s="29"/>
      <c r="F7" s="29"/>
      <c r="AA7" s="31">
        <f>DATA!A19</f>
        <v>42036</v>
      </c>
    </row>
    <row r="8" spans="1:27" x14ac:dyDescent="0.2">
      <c r="C8" s="28"/>
      <c r="D8" s="28"/>
      <c r="E8" s="28"/>
      <c r="F8" s="29"/>
      <c r="AA8" s="31">
        <f>DATA!A20</f>
        <v>42064</v>
      </c>
    </row>
    <row r="9" spans="1:27" x14ac:dyDescent="0.2">
      <c r="C9" s="28"/>
      <c r="D9" s="28"/>
      <c r="E9" s="28"/>
      <c r="F9" s="28"/>
      <c r="AA9" s="31">
        <f>DATA!A21</f>
        <v>42095</v>
      </c>
    </row>
    <row r="10" spans="1:27" x14ac:dyDescent="0.2">
      <c r="C10" s="28"/>
      <c r="D10" s="28"/>
      <c r="E10" s="28"/>
      <c r="F10" s="28"/>
      <c r="G10" s="28"/>
      <c r="H10" s="28"/>
      <c r="I10" s="28"/>
      <c r="AA10" s="31">
        <f>DATA!A22</f>
        <v>42125</v>
      </c>
    </row>
    <row r="11" spans="1:27" x14ac:dyDescent="0.2">
      <c r="C11" s="28"/>
      <c r="D11" s="28"/>
      <c r="E11" s="28"/>
      <c r="F11" s="28"/>
      <c r="G11" s="28"/>
      <c r="H11" s="28"/>
      <c r="I11" s="28"/>
      <c r="AA11" s="31">
        <f>DATA!A23</f>
        <v>42156</v>
      </c>
    </row>
    <row r="12" spans="1:27" x14ac:dyDescent="0.2">
      <c r="C12" s="28"/>
      <c r="D12" s="28"/>
      <c r="E12" s="28"/>
      <c r="F12" s="28"/>
      <c r="G12" s="28"/>
      <c r="H12" s="28"/>
      <c r="I12" s="28"/>
      <c r="AA12" s="31">
        <f>DATA!A24</f>
        <v>42186</v>
      </c>
    </row>
    <row r="13" spans="1:27" x14ac:dyDescent="0.2">
      <c r="C13" s="28"/>
      <c r="D13" s="28"/>
      <c r="E13" s="28"/>
      <c r="F13" s="28"/>
      <c r="G13" s="28"/>
      <c r="H13" s="28"/>
      <c r="I13" s="28"/>
      <c r="J13" s="28"/>
      <c r="AA13" s="31">
        <f>DATA!A25</f>
        <v>42217</v>
      </c>
    </row>
    <row r="14" spans="1:27" x14ac:dyDescent="0.2">
      <c r="C14" s="28"/>
      <c r="D14" s="28"/>
      <c r="E14" s="28"/>
      <c r="F14" s="28"/>
      <c r="G14" s="28"/>
      <c r="H14" s="28"/>
      <c r="I14" s="28"/>
      <c r="J14" s="28"/>
      <c r="K14" s="28"/>
      <c r="AA14" s="31">
        <f>DATA!A26</f>
        <v>42248</v>
      </c>
    </row>
    <row r="15" spans="1:27" ht="10.5" thickBot="1" x14ac:dyDescent="0.25">
      <c r="C15" s="28"/>
      <c r="D15" s="28"/>
      <c r="E15" s="28"/>
      <c r="F15" s="28"/>
      <c r="G15" s="28"/>
      <c r="H15" s="28"/>
      <c r="I15" s="28"/>
      <c r="J15" s="28"/>
      <c r="K15" s="28"/>
      <c r="L15" s="28"/>
      <c r="AA15" s="31">
        <f>DATA!A27</f>
        <v>42278</v>
      </c>
    </row>
    <row r="16" spans="1:27" ht="16" thickBot="1" x14ac:dyDescent="0.4"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O16" s="84" t="str">
        <f>Navigation!$A$1</f>
        <v>Sell me more!</v>
      </c>
      <c r="P16" s="19"/>
      <c r="AA16" s="31">
        <f>DATA!A28</f>
        <v>42309</v>
      </c>
    </row>
    <row r="17" spans="2:27" x14ac:dyDescent="0.2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AA17" s="31">
        <f>DATA!A29</f>
        <v>42339</v>
      </c>
    </row>
    <row r="18" spans="2:27" x14ac:dyDescent="0.2">
      <c r="B18" s="27"/>
      <c r="D18" s="25"/>
      <c r="E18" s="25"/>
      <c r="F18" s="25"/>
    </row>
    <row r="19" spans="2:27" x14ac:dyDescent="0.2">
      <c r="B19" s="27"/>
      <c r="D19" s="25"/>
      <c r="E19" s="25"/>
      <c r="F19" s="25"/>
      <c r="AA19" s="31">
        <f>INDEX(AA6:AA17,AA$4)</f>
        <v>42064</v>
      </c>
    </row>
    <row r="20" spans="2:27" x14ac:dyDescent="0.2">
      <c r="B20" s="27"/>
      <c r="D20" s="25"/>
      <c r="E20" s="25"/>
      <c r="F20" s="25"/>
    </row>
    <row r="21" spans="2:27" x14ac:dyDescent="0.2">
      <c r="B21" s="27"/>
      <c r="D21" s="25"/>
      <c r="E21" s="25"/>
      <c r="F21" s="25"/>
    </row>
    <row r="22" spans="2:27" x14ac:dyDescent="0.2">
      <c r="B22" s="27"/>
      <c r="D22" s="25"/>
      <c r="E22" s="25"/>
      <c r="F22" s="25"/>
    </row>
    <row r="23" spans="2:27" x14ac:dyDescent="0.2">
      <c r="B23" s="27"/>
      <c r="D23" s="25"/>
      <c r="E23" s="25"/>
      <c r="F23" s="25"/>
    </row>
    <row r="24" spans="2:27" x14ac:dyDescent="0.2">
      <c r="B24" s="27"/>
      <c r="D24" s="25"/>
      <c r="E24" s="25"/>
      <c r="F24" s="25"/>
    </row>
    <row r="25" spans="2:27" x14ac:dyDescent="0.2">
      <c r="B25" s="27"/>
      <c r="D25" s="25"/>
      <c r="E25" s="25"/>
      <c r="F25" s="25"/>
    </row>
  </sheetData>
  <phoneticPr fontId="3" type="noConversion"/>
  <hyperlinks>
    <hyperlink ref="O16" location="Navigation!A1" display="=Navigation!$A$1"/>
  </hyperlinks>
  <pageMargins left="0.78740157499999996" right="0.78740157499999996" top="0.984251969" bottom="0.984251969" header="0.4921259845" footer="0.4921259845"/>
  <pageSetup paperSize="9" scale="1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14</xdr:col>
                    <xdr:colOff>31750</xdr:colOff>
                    <xdr:row>0</xdr:row>
                    <xdr:rowOff>114300</xdr:rowOff>
                  </from>
                  <to>
                    <xdr:col>14</xdr:col>
                    <xdr:colOff>838200</xdr:colOff>
                    <xdr:row>13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showGridLines="0" zoomScale="140" workbookViewId="0"/>
  </sheetViews>
  <sheetFormatPr baseColWidth="10" defaultColWidth="11.453125" defaultRowHeight="10" x14ac:dyDescent="0.2"/>
  <cols>
    <col min="1" max="1" width="4" style="26" customWidth="1"/>
    <col min="2" max="3" width="6.54296875" style="25" customWidth="1"/>
    <col min="4" max="13" width="6.54296875" style="26" customWidth="1"/>
    <col min="14" max="14" width="2.26953125" style="26" customWidth="1"/>
    <col min="15" max="15" width="14.81640625" style="26" customWidth="1"/>
    <col min="16" max="16384" width="11.453125" style="26"/>
  </cols>
  <sheetData>
    <row r="1" spans="1:27" ht="13" x14ac:dyDescent="0.3">
      <c r="A1" s="37" t="s">
        <v>17</v>
      </c>
      <c r="C1" s="30"/>
      <c r="D1" s="30"/>
      <c r="E1" s="30"/>
      <c r="G1" s="39" t="s">
        <v>1</v>
      </c>
      <c r="H1" s="38">
        <f>DATA!C7</f>
        <v>2015</v>
      </c>
      <c r="J1" s="33"/>
      <c r="K1" s="34"/>
      <c r="L1" s="34"/>
      <c r="M1" s="40" t="str">
        <f>DATA!$B$5</f>
        <v>Meulenburger &amp; Trapp KG</v>
      </c>
      <c r="AA1" s="26" t="s">
        <v>16</v>
      </c>
    </row>
    <row r="2" spans="1:27" ht="12" x14ac:dyDescent="0.3">
      <c r="A2" s="51" t="s">
        <v>20</v>
      </c>
      <c r="B2" s="52"/>
      <c r="C2" s="52"/>
      <c r="D2" s="52"/>
      <c r="E2" s="30"/>
      <c r="K2" s="30"/>
    </row>
    <row r="3" spans="1:27" x14ac:dyDescent="0.2">
      <c r="A3" s="54" t="str">
        <f>DATA!$A$9</f>
        <v>Berichtswährung:</v>
      </c>
      <c r="B3" s="55"/>
      <c r="D3" s="56" t="str">
        <f>DATA!$B$9</f>
        <v>SF</v>
      </c>
      <c r="E3" s="30"/>
      <c r="G3" s="111" t="s">
        <v>82</v>
      </c>
      <c r="H3" s="112">
        <f>AA20</f>
        <v>42036</v>
      </c>
      <c r="K3" s="30"/>
    </row>
    <row r="4" spans="1:27" x14ac:dyDescent="0.2">
      <c r="AA4" s="32">
        <v>2</v>
      </c>
    </row>
    <row r="5" spans="1:27" x14ac:dyDescent="0.2">
      <c r="B5" s="48">
        <f>DATA!$A18</f>
        <v>42005</v>
      </c>
      <c r="C5" s="49">
        <f>DATA!$A19</f>
        <v>42036</v>
      </c>
      <c r="D5" s="50">
        <f>DATA!$A20</f>
        <v>42064</v>
      </c>
      <c r="E5" s="50">
        <f>DATA!$A21</f>
        <v>42095</v>
      </c>
      <c r="F5" s="50">
        <f>DATA!$A22</f>
        <v>42125</v>
      </c>
      <c r="G5" s="50">
        <f>DATA!$A23</f>
        <v>42156</v>
      </c>
      <c r="H5" s="50">
        <f>DATA!$A24</f>
        <v>42186</v>
      </c>
      <c r="I5" s="50">
        <f>DATA!$A25</f>
        <v>42217</v>
      </c>
      <c r="J5" s="50">
        <f>DATA!$A26</f>
        <v>42248</v>
      </c>
      <c r="K5" s="50">
        <f>DATA!$A27</f>
        <v>42278</v>
      </c>
      <c r="L5" s="50">
        <f>DATA!$A28</f>
        <v>42309</v>
      </c>
      <c r="M5" s="50">
        <f>DATA!$A29</f>
        <v>42339</v>
      </c>
    </row>
    <row r="6" spans="1:27" ht="14.5" customHeight="1" x14ac:dyDescent="0.2">
      <c r="A6" s="46" t="s">
        <v>19</v>
      </c>
      <c r="B6" s="47">
        <f>IF($AA$4&gt;=1,Survey!$B$18,0)</f>
        <v>70000</v>
      </c>
      <c r="C6" s="42">
        <f>IF($AA$4&gt;1,Survey!$B$19,0)</f>
        <v>210000</v>
      </c>
      <c r="D6" s="36">
        <f>IF($AA$4&gt;2,Survey!$B$20,0)</f>
        <v>0</v>
      </c>
      <c r="E6" s="36">
        <f>IF($AA$4&gt;3,Survey!$B$21,0)</f>
        <v>0</v>
      </c>
      <c r="F6" s="36">
        <f>IF($AA$4&gt;4,Survey!$B$22,0)</f>
        <v>0</v>
      </c>
      <c r="G6" s="36">
        <f>IF($AA$4&gt;5,Survey!$B$23,0)</f>
        <v>0</v>
      </c>
      <c r="H6" s="36">
        <f>IF($AA$4&gt;6,Survey!$B$24,0)</f>
        <v>0</v>
      </c>
      <c r="I6" s="36">
        <f>IF($AA$4&gt;7,Survey!$B$25,0)</f>
        <v>0</v>
      </c>
      <c r="J6" s="36">
        <f>IF($AA$4&gt;8,Survey!$B$26,0)</f>
        <v>0</v>
      </c>
      <c r="K6" s="36">
        <f>IF($AA$4&gt;9,Survey!$B$27,0)</f>
        <v>0</v>
      </c>
      <c r="L6" s="36">
        <f>IF($AA$4&gt;10,Survey!$B$28,0)</f>
        <v>0</v>
      </c>
      <c r="M6" s="36">
        <f>IF($AA$4&gt;11,Survey!$B$29,0)</f>
        <v>0</v>
      </c>
    </row>
    <row r="7" spans="1:27" x14ac:dyDescent="0.2">
      <c r="A7" s="45" t="s">
        <v>18</v>
      </c>
      <c r="B7" s="42">
        <f>IF($AA$4&gt;=1,Survey!$D18,0)</f>
        <v>87354</v>
      </c>
      <c r="C7" s="36">
        <f>IF($AA$4&gt;1,Survey!$D19,0)</f>
        <v>93467</v>
      </c>
      <c r="D7" s="36">
        <f>IF($AA$4&gt;2,Survey!$D20,0)</f>
        <v>0</v>
      </c>
      <c r="E7" s="36">
        <f>IF($AA$4&gt;3,Survey!$D21,0)</f>
        <v>0</v>
      </c>
      <c r="F7" s="36">
        <f>IF($AA$4&gt;4,Survey!$D22,0)</f>
        <v>0</v>
      </c>
      <c r="G7" s="36">
        <f>IF($AA$4&gt;5,Survey!$D23,0)</f>
        <v>0</v>
      </c>
      <c r="H7" s="36">
        <f>IF($AA$4&gt;6,Survey!$D24,0)</f>
        <v>0</v>
      </c>
      <c r="I7" s="36">
        <f>IF($AA$4&gt;7,Survey!$D25,0)</f>
        <v>0</v>
      </c>
      <c r="J7" s="36">
        <f>IF($AA$4&gt;8,Survey!$D26,0)</f>
        <v>0</v>
      </c>
      <c r="K7" s="36">
        <f>IF($AA$4&gt;9,Survey!$D27,0)</f>
        <v>0</v>
      </c>
      <c r="L7" s="36">
        <f>IF($AA$4&gt;10,Survey!$D28,0)</f>
        <v>0</v>
      </c>
      <c r="M7" s="36">
        <f>IF($AA$4&gt;11,Survey!$D29,0)</f>
        <v>0</v>
      </c>
      <c r="AA7" s="31">
        <f>DATA!A18</f>
        <v>42005</v>
      </c>
    </row>
    <row r="8" spans="1:27" x14ac:dyDescent="0.2">
      <c r="A8" s="44" t="s">
        <v>12</v>
      </c>
      <c r="B8" s="42">
        <f>IF(Survey!$H$18=DATA!D18,0,IF($AA$4&gt;=1,Survey!$H$18,0))</f>
        <v>0</v>
      </c>
      <c r="C8" s="36">
        <f>IF(Survey!$H$19=DATA!$D$19,0,IF($AA$4&gt;1,Survey!$H$19,0))</f>
        <v>0</v>
      </c>
      <c r="D8" s="36">
        <f>IF(Survey!$H$20=DATA!$D$20,0,IF($AA$4&gt;2,Survey!$H$20,0))</f>
        <v>0</v>
      </c>
      <c r="E8" s="36">
        <f>IF(Survey!$H$21=DATA!$D$21,0,IF($AA$4&gt;3,Survey!$H$21,0))</f>
        <v>0</v>
      </c>
      <c r="F8" s="36">
        <f>IF(Survey!$H$22=DATA!$D$22,0,IF($AA$4&gt;4,Survey!$H$22,0))</f>
        <v>0</v>
      </c>
      <c r="G8" s="36">
        <f>IF(Survey!$H$23=DATA!$D$23,0,IF($AA$4&gt;5,Survey!$H$23,0))</f>
        <v>0</v>
      </c>
      <c r="H8" s="36">
        <f>IF(Survey!$H$24=DATA!$D$24,0,IF($AA$4&gt;6,Survey!$H$24,0))</f>
        <v>0</v>
      </c>
      <c r="I8" s="36">
        <f>IF(Survey!$H$25=DATA!$D$25,0,IF($AA$4&gt;7,Survey!$H$25,0))</f>
        <v>0</v>
      </c>
      <c r="J8" s="36">
        <f>IF(Survey!$H$26=DATA!$D$26,0,IF($AA$4&gt;8,Survey!$H$26,0))</f>
        <v>0</v>
      </c>
      <c r="K8" s="36">
        <f>IF(Survey!$H$27=DATA!$D$27,0,IF($AA$4&gt;9,Survey!$H$27,0))</f>
        <v>0</v>
      </c>
      <c r="L8" s="36">
        <f>IF(Survey!$H$28=DATA!$D$28,0,IF($AA$4&gt;10,Survey!$H$28,0))</f>
        <v>0</v>
      </c>
      <c r="M8" s="36">
        <f>IF(Survey!$H$29=DATA!$D$29,0,IF($AA$4&gt;11,Survey!$H$29,0))</f>
        <v>0</v>
      </c>
      <c r="AA8" s="31">
        <f>DATA!A19</f>
        <v>42036</v>
      </c>
    </row>
    <row r="9" spans="1:27" x14ac:dyDescent="0.2">
      <c r="C9" s="28"/>
      <c r="D9" s="28"/>
      <c r="E9" s="28"/>
      <c r="F9" s="29"/>
      <c r="AA9" s="31">
        <f>DATA!A20</f>
        <v>42064</v>
      </c>
    </row>
    <row r="10" spans="1:27" x14ac:dyDescent="0.2">
      <c r="C10" s="28"/>
      <c r="D10" s="28"/>
      <c r="E10" s="28"/>
      <c r="F10" s="28"/>
      <c r="AA10" s="31">
        <f>DATA!A21</f>
        <v>42095</v>
      </c>
    </row>
    <row r="11" spans="1:27" x14ac:dyDescent="0.2">
      <c r="C11" s="28"/>
      <c r="D11" s="28"/>
      <c r="E11" s="28"/>
      <c r="F11" s="28"/>
      <c r="G11" s="28"/>
      <c r="H11" s="28"/>
      <c r="I11" s="28"/>
      <c r="AA11" s="31">
        <f>DATA!A22</f>
        <v>42125</v>
      </c>
    </row>
    <row r="12" spans="1:27" x14ac:dyDescent="0.2">
      <c r="C12" s="28"/>
      <c r="D12" s="28"/>
      <c r="E12" s="28"/>
      <c r="F12" s="28"/>
      <c r="G12" s="28"/>
      <c r="H12" s="28"/>
      <c r="I12" s="28"/>
      <c r="AA12" s="31">
        <f>DATA!A23</f>
        <v>42156</v>
      </c>
    </row>
    <row r="13" spans="1:27" x14ac:dyDescent="0.2">
      <c r="C13" s="28"/>
      <c r="D13" s="28"/>
      <c r="E13" s="28"/>
      <c r="F13" s="28"/>
      <c r="G13" s="28"/>
      <c r="H13" s="28"/>
      <c r="I13" s="28"/>
      <c r="AA13" s="31">
        <f>DATA!A24</f>
        <v>42186</v>
      </c>
    </row>
    <row r="14" spans="1:27" x14ac:dyDescent="0.2">
      <c r="C14" s="28"/>
      <c r="D14" s="28"/>
      <c r="E14" s="28"/>
      <c r="F14" s="28"/>
      <c r="G14" s="28"/>
      <c r="H14" s="28"/>
      <c r="I14" s="28"/>
      <c r="J14" s="28"/>
      <c r="AA14" s="31">
        <f>DATA!A25</f>
        <v>42217</v>
      </c>
    </row>
    <row r="15" spans="1:27" ht="10.5" thickBot="1" x14ac:dyDescent="0.25">
      <c r="C15" s="28"/>
      <c r="D15" s="28"/>
      <c r="E15" s="28"/>
      <c r="F15" s="28"/>
      <c r="G15" s="28"/>
      <c r="H15" s="28"/>
      <c r="I15" s="28"/>
      <c r="J15" s="28"/>
      <c r="K15" s="28"/>
      <c r="AA15" s="31">
        <f>DATA!A26</f>
        <v>42248</v>
      </c>
    </row>
    <row r="16" spans="1:27" ht="11" thickBot="1" x14ac:dyDescent="0.3">
      <c r="C16" s="28"/>
      <c r="D16" s="28"/>
      <c r="E16" s="28"/>
      <c r="F16" s="28"/>
      <c r="G16" s="28"/>
      <c r="H16" s="28"/>
      <c r="I16" s="28"/>
      <c r="J16" s="28"/>
      <c r="K16" s="28"/>
      <c r="L16" s="28"/>
      <c r="O16" s="84" t="str">
        <f>Navigation!$A$1</f>
        <v>Sell me more!</v>
      </c>
      <c r="AA16" s="31">
        <f>DATA!A27</f>
        <v>42278</v>
      </c>
    </row>
    <row r="17" spans="2:27" x14ac:dyDescent="0.2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AA17" s="31">
        <f>DATA!A28</f>
        <v>42309</v>
      </c>
    </row>
    <row r="18" spans="2:27" x14ac:dyDescent="0.2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AA18" s="31">
        <f>DATA!A29</f>
        <v>42339</v>
      </c>
    </row>
    <row r="19" spans="2:27" x14ac:dyDescent="0.2">
      <c r="B19" s="27"/>
      <c r="D19" s="25"/>
      <c r="E19" s="25"/>
      <c r="F19" s="25"/>
    </row>
    <row r="20" spans="2:27" x14ac:dyDescent="0.2">
      <c r="B20" s="27"/>
      <c r="D20" s="25"/>
      <c r="E20" s="25"/>
      <c r="F20" s="25"/>
      <c r="AA20" s="31">
        <f>INDEX(AA7:AA18,AA$4)</f>
        <v>42036</v>
      </c>
    </row>
    <row r="21" spans="2:27" x14ac:dyDescent="0.2">
      <c r="B21" s="27"/>
      <c r="D21" s="25"/>
      <c r="E21" s="25"/>
      <c r="F21" s="25"/>
    </row>
    <row r="22" spans="2:27" x14ac:dyDescent="0.2">
      <c r="B22" s="27"/>
      <c r="D22" s="25"/>
      <c r="E22" s="25"/>
      <c r="F22" s="25"/>
    </row>
    <row r="23" spans="2:27" x14ac:dyDescent="0.2">
      <c r="B23" s="27"/>
      <c r="D23" s="25"/>
      <c r="E23" s="25"/>
      <c r="F23" s="25"/>
    </row>
    <row r="24" spans="2:27" x14ac:dyDescent="0.2">
      <c r="B24" s="27"/>
      <c r="D24" s="25"/>
      <c r="E24" s="25"/>
      <c r="F24" s="25"/>
    </row>
    <row r="25" spans="2:27" x14ac:dyDescent="0.2">
      <c r="B25" s="27"/>
      <c r="D25" s="25"/>
      <c r="E25" s="25"/>
      <c r="F25" s="25"/>
    </row>
    <row r="26" spans="2:27" x14ac:dyDescent="0.2">
      <c r="B26" s="27"/>
      <c r="D26" s="25"/>
      <c r="E26" s="25"/>
      <c r="F26" s="25"/>
    </row>
  </sheetData>
  <phoneticPr fontId="3" type="noConversion"/>
  <hyperlinks>
    <hyperlink ref="O16" location="Navigation!A1" display="=Navigation!$A$1"/>
  </hyperlinks>
  <pageMargins left="0.78740157499999996" right="0.78740157499999996" top="0.984251969" bottom="0.984251969" header="0.4921259845" footer="0.4921259845"/>
  <pageSetup paperSize="9" scale="1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 moveWithCells="1">
                  <from>
                    <xdr:col>14</xdr:col>
                    <xdr:colOff>31750</xdr:colOff>
                    <xdr:row>0</xdr:row>
                    <xdr:rowOff>88900</xdr:rowOff>
                  </from>
                  <to>
                    <xdr:col>14</xdr:col>
                    <xdr:colOff>882650</xdr:colOff>
                    <xdr:row>12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showGridLines="0" zoomScale="140" workbookViewId="0"/>
  </sheetViews>
  <sheetFormatPr baseColWidth="10" defaultColWidth="11.453125" defaultRowHeight="10" x14ac:dyDescent="0.2"/>
  <cols>
    <col min="1" max="1" width="4" style="26" customWidth="1"/>
    <col min="2" max="3" width="6.54296875" style="25" customWidth="1"/>
    <col min="4" max="13" width="6.54296875" style="26" customWidth="1"/>
    <col min="14" max="14" width="2.26953125" style="26" customWidth="1"/>
    <col min="15" max="15" width="15.54296875" style="26" customWidth="1"/>
    <col min="16" max="16384" width="11.453125" style="26"/>
  </cols>
  <sheetData>
    <row r="1" spans="1:27" ht="13" x14ac:dyDescent="0.3">
      <c r="A1" s="37" t="s">
        <v>21</v>
      </c>
      <c r="C1" s="30"/>
      <c r="D1" s="30"/>
      <c r="E1" s="30"/>
      <c r="G1" s="39" t="s">
        <v>1</v>
      </c>
      <c r="H1" s="38">
        <f>DATA!C7</f>
        <v>2015</v>
      </c>
      <c r="J1" s="33"/>
      <c r="K1" s="34"/>
      <c r="L1" s="34"/>
      <c r="M1" s="40" t="str">
        <f>DATA!$B$5</f>
        <v>Meulenburger &amp; Trapp KG</v>
      </c>
      <c r="AA1" s="26" t="s">
        <v>16</v>
      </c>
    </row>
    <row r="2" spans="1:27" ht="12" x14ac:dyDescent="0.3">
      <c r="A2" s="51" t="s">
        <v>20</v>
      </c>
      <c r="B2" s="52"/>
      <c r="C2" s="52"/>
      <c r="D2" s="52"/>
      <c r="E2" s="30"/>
      <c r="K2" s="30"/>
    </row>
    <row r="3" spans="1:27" x14ac:dyDescent="0.2">
      <c r="A3" s="54" t="str">
        <f>DATA!$A$9</f>
        <v>Berichtswährung:</v>
      </c>
      <c r="B3" s="55"/>
      <c r="D3" s="56" t="str">
        <f>DATA!$B$9</f>
        <v>SF</v>
      </c>
      <c r="E3" s="30"/>
      <c r="G3" s="111" t="s">
        <v>82</v>
      </c>
      <c r="H3" s="112">
        <f>AA20</f>
        <v>42339</v>
      </c>
      <c r="K3" s="30"/>
    </row>
    <row r="4" spans="1:27" x14ac:dyDescent="0.2">
      <c r="AA4" s="32">
        <v>12</v>
      </c>
    </row>
    <row r="5" spans="1:27" x14ac:dyDescent="0.2">
      <c r="B5" s="48">
        <f>DATA!$A18</f>
        <v>42005</v>
      </c>
      <c r="C5" s="49">
        <f>DATA!$A19</f>
        <v>42036</v>
      </c>
      <c r="D5" s="50">
        <f>DATA!$A20</f>
        <v>42064</v>
      </c>
      <c r="E5" s="50">
        <f>DATA!$A21</f>
        <v>42095</v>
      </c>
      <c r="F5" s="50">
        <f>DATA!$A22</f>
        <v>42125</v>
      </c>
      <c r="G5" s="50">
        <f>DATA!$A23</f>
        <v>42156</v>
      </c>
      <c r="H5" s="50">
        <f>DATA!$A24</f>
        <v>42186</v>
      </c>
      <c r="I5" s="50">
        <f>DATA!$A25</f>
        <v>42217</v>
      </c>
      <c r="J5" s="50">
        <f>DATA!$A26</f>
        <v>42248</v>
      </c>
      <c r="K5" s="50">
        <f>DATA!$A27</f>
        <v>42278</v>
      </c>
      <c r="L5" s="50">
        <f>DATA!$A28</f>
        <v>42309</v>
      </c>
      <c r="M5" s="50">
        <f>DATA!$A29</f>
        <v>42339</v>
      </c>
    </row>
    <row r="6" spans="1:27" ht="14.5" customHeight="1" x14ac:dyDescent="0.2">
      <c r="A6" s="46" t="s">
        <v>19</v>
      </c>
      <c r="B6" s="47">
        <f>IF($AA$4&gt;=1,Survey!$K$18,0)</f>
        <v>70000</v>
      </c>
      <c r="C6" s="42">
        <f>IF($AA$4&gt;1,Survey!$K$19,0)</f>
        <v>280000</v>
      </c>
      <c r="D6" s="36">
        <f>IF($AA$4&gt;2,Survey!$K$20,0)</f>
        <v>460000</v>
      </c>
      <c r="E6" s="36">
        <f>IF($AA$4&gt;3,Survey!$K$21,0)</f>
        <v>553000</v>
      </c>
      <c r="F6" s="36">
        <f>IF($AA$4&gt;4,Survey!$K$22,0)</f>
        <v>873000</v>
      </c>
      <c r="G6" s="36">
        <f>IF($AA$4&gt;5,Survey!$K$23,0)</f>
        <v>993000</v>
      </c>
      <c r="H6" s="36">
        <f>IF($AA$4&gt;6,Survey!$K$24,0)</f>
        <v>1073000</v>
      </c>
      <c r="I6" s="36">
        <f>IF($AA$4&gt;7,Survey!$K$25,0)</f>
        <v>1123000</v>
      </c>
      <c r="J6" s="36">
        <f>IF($AA$4&gt;8,Survey!$K$26,0)</f>
        <v>1343000</v>
      </c>
      <c r="K6" s="36">
        <f>IF($AA$4&gt;9,Survey!$K$27,0)</f>
        <v>1593000</v>
      </c>
      <c r="L6" s="36">
        <f>IF($AA$4&gt;10,Survey!$K$28,0)</f>
        <v>1813000</v>
      </c>
      <c r="M6" s="36">
        <f>IF($AA$4&gt;11,Survey!$K$29,0)</f>
        <v>1918000</v>
      </c>
    </row>
    <row r="7" spans="1:27" x14ac:dyDescent="0.2">
      <c r="A7" s="45" t="s">
        <v>18</v>
      </c>
      <c r="B7" s="42">
        <f>IF($AA$4&gt;=1,Survey!$M18,0)</f>
        <v>87354</v>
      </c>
      <c r="C7" s="36">
        <f>IF($AA$4&gt;1,Survey!$M19,0)</f>
        <v>180821</v>
      </c>
      <c r="D7" s="36">
        <f>IF($AA$4&gt;2,Survey!$M20,0)</f>
        <v>407995</v>
      </c>
      <c r="E7" s="36">
        <f>IF($AA$4&gt;3,Survey!$M21,0)</f>
        <v>407995</v>
      </c>
      <c r="F7" s="36">
        <f>IF($AA$4&gt;4,Survey!$M22,0)</f>
        <v>407995</v>
      </c>
      <c r="G7" s="36">
        <f>IF($AA$4&gt;5,Survey!$M23,0)</f>
        <v>407995</v>
      </c>
      <c r="H7" s="36">
        <f>IF($AA$4&gt;6,Survey!$M24,0)</f>
        <v>407995</v>
      </c>
      <c r="I7" s="36">
        <f>IF($AA$4&gt;7,Survey!$M25,0)</f>
        <v>407995</v>
      </c>
      <c r="J7" s="36">
        <f>IF($AA$4&gt;8,Survey!$M26,0)</f>
        <v>407995</v>
      </c>
      <c r="K7" s="36">
        <f>IF($AA$4&gt;9,Survey!$M27,0)</f>
        <v>407995</v>
      </c>
      <c r="L7" s="36">
        <f>IF($AA$4&gt;10,Survey!$M28,0)</f>
        <v>407995</v>
      </c>
      <c r="M7" s="36">
        <f>IF($AA$4&gt;11,Survey!$M29,0)</f>
        <v>407995</v>
      </c>
      <c r="AA7" s="31">
        <f>DATA!A18</f>
        <v>42005</v>
      </c>
    </row>
    <row r="8" spans="1:27" x14ac:dyDescent="0.2">
      <c r="A8" s="44" t="s">
        <v>12</v>
      </c>
      <c r="B8" s="42">
        <f>IF(Survey!$H$18=DATA!D18,0,IF($AA$4&gt;=1,Survey!$O$18,0))</f>
        <v>0</v>
      </c>
      <c r="C8" s="36">
        <f>IF(Survey!$H$19=DATA!$D$19,0,IF($AA$4&gt;1,Survey!$O$19,0))</f>
        <v>0</v>
      </c>
      <c r="D8" s="36">
        <f>IF(Survey!$H$20=DATA!$D$20,0,IF($AA$4&gt;2,Survey!$O$20,0))</f>
        <v>0</v>
      </c>
      <c r="E8" s="36">
        <f>IF(Survey!$H$21=DATA!$D$21,0,IF($AA$4&gt;3,Survey!$O$21,0))</f>
        <v>499602.2634920635</v>
      </c>
      <c r="F8" s="36">
        <f>IF(Survey!$H$22=DATA!$D$22,0,IF($AA$4&gt;4,Survey!$O$22,0))</f>
        <v>814810.05185185187</v>
      </c>
      <c r="G8" s="36">
        <f>IF(Survey!$H$23=DATA!$D$23,0,IF($AA$4&gt;5,Survey!$O$23,0))</f>
        <v>933012.97248677246</v>
      </c>
      <c r="H8" s="36">
        <f>IF(Survey!$H$24=DATA!$D$24,0,IF($AA$4&gt;6,Survey!$O$24,0))</f>
        <v>1011814.9195767195</v>
      </c>
      <c r="I8" s="36">
        <f>IF(Survey!$H$25=DATA!$D$25,0,IF($AA$4&gt;7,Survey!$O$25,0))</f>
        <v>1061066.1365079365</v>
      </c>
      <c r="J8" s="36">
        <f>IF(Survey!$H$26=DATA!$D$26,0,IF($AA$4&gt;8,Survey!$O$26,0))</f>
        <v>1277771.491005291</v>
      </c>
      <c r="K8" s="36">
        <f>IF(Survey!$H$27=DATA!$D$27,0,IF($AA$4&gt;9,Survey!$O$27,0))</f>
        <v>1524027.5756613757</v>
      </c>
      <c r="L8" s="36">
        <f>IF(Survey!$H$28=DATA!$D$28,0,IF($AA$4&gt;10,Survey!$O$28,0))</f>
        <v>1740732.9301587301</v>
      </c>
      <c r="M8" s="36">
        <f>IF(Survey!$H$29=DATA!$D$29,0,IF($AA$4&gt;11,Survey!$O$29,0))</f>
        <v>1844160.4857142856</v>
      </c>
      <c r="AA8" s="31">
        <f>DATA!A19</f>
        <v>42036</v>
      </c>
    </row>
    <row r="9" spans="1:27" x14ac:dyDescent="0.2">
      <c r="C9" s="28"/>
      <c r="D9" s="28"/>
      <c r="E9" s="28"/>
      <c r="F9" s="29"/>
      <c r="AA9" s="31">
        <f>DATA!A20</f>
        <v>42064</v>
      </c>
    </row>
    <row r="10" spans="1:27" x14ac:dyDescent="0.2">
      <c r="C10" s="28"/>
      <c r="D10" s="28"/>
      <c r="E10" s="28"/>
      <c r="F10" s="28"/>
      <c r="AA10" s="31">
        <f>DATA!A21</f>
        <v>42095</v>
      </c>
    </row>
    <row r="11" spans="1:27" x14ac:dyDescent="0.2">
      <c r="C11" s="28"/>
      <c r="D11" s="28"/>
      <c r="E11" s="28"/>
      <c r="F11" s="28"/>
      <c r="G11" s="28"/>
      <c r="H11" s="28"/>
      <c r="I11" s="28"/>
      <c r="AA11" s="31">
        <f>DATA!A22</f>
        <v>42125</v>
      </c>
    </row>
    <row r="12" spans="1:27" x14ac:dyDescent="0.2">
      <c r="C12" s="28"/>
      <c r="D12" s="28"/>
      <c r="E12" s="28"/>
      <c r="F12" s="28"/>
      <c r="G12" s="28"/>
      <c r="H12" s="28"/>
      <c r="I12" s="28"/>
      <c r="AA12" s="31">
        <f>DATA!A23</f>
        <v>42156</v>
      </c>
    </row>
    <row r="13" spans="1:27" x14ac:dyDescent="0.2">
      <c r="C13" s="28"/>
      <c r="D13" s="28"/>
      <c r="E13" s="28"/>
      <c r="F13" s="28"/>
      <c r="G13" s="28"/>
      <c r="H13" s="28"/>
      <c r="I13" s="28"/>
      <c r="AA13" s="31">
        <f>DATA!A24</f>
        <v>42186</v>
      </c>
    </row>
    <row r="14" spans="1:27" x14ac:dyDescent="0.2">
      <c r="C14" s="28"/>
      <c r="D14" s="28"/>
      <c r="E14" s="28"/>
      <c r="F14" s="28"/>
      <c r="G14" s="28"/>
      <c r="H14" s="28"/>
      <c r="I14" s="28"/>
      <c r="J14" s="28"/>
      <c r="AA14" s="31">
        <f>DATA!A25</f>
        <v>42217</v>
      </c>
    </row>
    <row r="15" spans="1:27" x14ac:dyDescent="0.2">
      <c r="C15" s="28"/>
      <c r="D15" s="28"/>
      <c r="E15" s="28"/>
      <c r="F15" s="28"/>
      <c r="G15" s="28"/>
      <c r="H15" s="28"/>
      <c r="I15" s="28"/>
      <c r="J15" s="28"/>
      <c r="K15" s="28"/>
      <c r="AA15" s="31">
        <f>DATA!A26</f>
        <v>42248</v>
      </c>
    </row>
    <row r="16" spans="1:27" ht="10.5" thickBot="1" x14ac:dyDescent="0.25">
      <c r="C16" s="28"/>
      <c r="D16" s="28"/>
      <c r="E16" s="28"/>
      <c r="F16" s="28"/>
      <c r="G16" s="28"/>
      <c r="H16" s="28"/>
      <c r="I16" s="28"/>
      <c r="J16" s="28"/>
      <c r="K16" s="28"/>
      <c r="L16" s="28"/>
      <c r="AA16" s="31">
        <f>DATA!A27</f>
        <v>42278</v>
      </c>
    </row>
    <row r="17" spans="2:27" ht="11" thickBot="1" x14ac:dyDescent="0.3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O17" s="84" t="str">
        <f>Navigation!$A$1</f>
        <v>Sell me more!</v>
      </c>
      <c r="AA17" s="31">
        <f>DATA!A28</f>
        <v>42309</v>
      </c>
    </row>
    <row r="18" spans="2:27" x14ac:dyDescent="0.2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AA18" s="31">
        <f>DATA!A29</f>
        <v>42339</v>
      </c>
    </row>
    <row r="19" spans="2:27" x14ac:dyDescent="0.2">
      <c r="B19" s="27"/>
      <c r="D19" s="25"/>
      <c r="E19" s="25"/>
      <c r="F19" s="25"/>
    </row>
    <row r="20" spans="2:27" x14ac:dyDescent="0.2">
      <c r="B20" s="27"/>
      <c r="D20" s="25"/>
      <c r="E20" s="25"/>
      <c r="F20" s="25"/>
      <c r="AA20" s="31">
        <f>INDEX(AA7:AA18,AA$4)</f>
        <v>42339</v>
      </c>
    </row>
    <row r="21" spans="2:27" x14ac:dyDescent="0.2">
      <c r="B21" s="27"/>
      <c r="D21" s="25"/>
      <c r="E21" s="25"/>
      <c r="F21" s="25"/>
    </row>
    <row r="22" spans="2:27" x14ac:dyDescent="0.2">
      <c r="B22" s="27"/>
      <c r="D22" s="25"/>
      <c r="E22" s="25"/>
      <c r="F22" s="25"/>
    </row>
    <row r="23" spans="2:27" x14ac:dyDescent="0.2">
      <c r="B23" s="27"/>
      <c r="D23" s="25"/>
      <c r="E23" s="25"/>
      <c r="F23" s="25"/>
    </row>
    <row r="24" spans="2:27" x14ac:dyDescent="0.2">
      <c r="B24" s="27"/>
      <c r="D24" s="25"/>
      <c r="E24" s="25"/>
      <c r="F24" s="25"/>
    </row>
    <row r="25" spans="2:27" x14ac:dyDescent="0.2">
      <c r="B25" s="27"/>
      <c r="D25" s="25"/>
      <c r="E25" s="25"/>
      <c r="F25" s="25"/>
    </row>
    <row r="26" spans="2:27" x14ac:dyDescent="0.2">
      <c r="B26" s="27"/>
      <c r="D26" s="25"/>
      <c r="E26" s="25"/>
      <c r="F26" s="25"/>
    </row>
  </sheetData>
  <phoneticPr fontId="3" type="noConversion"/>
  <hyperlinks>
    <hyperlink ref="O17" location="Navigation!A1" display="=Navigation!$A$1"/>
  </hyperlinks>
  <pageMargins left="0.78740157499999996" right="0.78740157499999996" top="0.984251969" bottom="0.984251969" header="0.4921259845" footer="0.4921259845"/>
  <pageSetup paperSize="9" scale="1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List Box 1">
              <controlPr defaultSize="0" autoLine="0" autoPict="0">
                <anchor moveWithCells="1">
                  <from>
                    <xdr:col>14</xdr:col>
                    <xdr:colOff>31750</xdr:colOff>
                    <xdr:row>0</xdr:row>
                    <xdr:rowOff>88900</xdr:rowOff>
                  </from>
                  <to>
                    <xdr:col>14</xdr:col>
                    <xdr:colOff>914400</xdr:colOff>
                    <xdr:row>12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showGridLines="0" zoomScale="140" workbookViewId="0"/>
  </sheetViews>
  <sheetFormatPr baseColWidth="10" defaultColWidth="11.453125" defaultRowHeight="10" x14ac:dyDescent="0.2"/>
  <cols>
    <col min="1" max="1" width="4" style="26" customWidth="1"/>
    <col min="2" max="3" width="6.54296875" style="25" customWidth="1"/>
    <col min="4" max="13" width="6.54296875" style="26" customWidth="1"/>
    <col min="14" max="14" width="2.26953125" style="26" customWidth="1"/>
    <col min="15" max="15" width="19.453125" style="26" customWidth="1"/>
    <col min="16" max="16384" width="11.453125" style="26"/>
  </cols>
  <sheetData>
    <row r="1" spans="1:27" ht="13" x14ac:dyDescent="0.3">
      <c r="A1" s="53" t="s">
        <v>24</v>
      </c>
      <c r="C1" s="30"/>
      <c r="D1" s="30"/>
      <c r="E1" s="30"/>
      <c r="G1" s="39" t="s">
        <v>1</v>
      </c>
      <c r="H1" s="38">
        <f>DATA!C7</f>
        <v>2015</v>
      </c>
      <c r="J1" s="33"/>
      <c r="K1" s="34"/>
      <c r="L1" s="34"/>
      <c r="M1" s="40" t="str">
        <f>DATA!$B$5</f>
        <v>Meulenburger &amp; Trapp KG</v>
      </c>
      <c r="AA1" s="26" t="s">
        <v>16</v>
      </c>
    </row>
    <row r="2" spans="1:27" ht="12" x14ac:dyDescent="0.3">
      <c r="A2" s="51"/>
      <c r="B2" s="52"/>
      <c r="C2" s="52"/>
      <c r="D2" s="52"/>
      <c r="E2" s="30"/>
      <c r="K2" s="30"/>
    </row>
    <row r="3" spans="1:27" x14ac:dyDescent="0.2">
      <c r="A3" s="54" t="str">
        <f>DATA!$A$9</f>
        <v>Berichtswährung:</v>
      </c>
      <c r="B3" s="55"/>
      <c r="D3" s="56" t="str">
        <f>DATA!$B$9</f>
        <v>SF</v>
      </c>
      <c r="E3" s="30"/>
      <c r="G3" s="111" t="s">
        <v>82</v>
      </c>
      <c r="H3" s="112">
        <f>AA20</f>
        <v>42125</v>
      </c>
      <c r="K3" s="30"/>
    </row>
    <row r="4" spans="1:27" x14ac:dyDescent="0.2">
      <c r="AA4" s="32">
        <v>5</v>
      </c>
    </row>
    <row r="5" spans="1:27" x14ac:dyDescent="0.2">
      <c r="B5" s="48">
        <f>DATA!$A18</f>
        <v>42005</v>
      </c>
      <c r="C5" s="49">
        <f>DATA!$A19</f>
        <v>42036</v>
      </c>
      <c r="D5" s="50">
        <f>DATA!$A20</f>
        <v>42064</v>
      </c>
      <c r="E5" s="50">
        <f>DATA!$A21</f>
        <v>42095</v>
      </c>
      <c r="F5" s="50">
        <f>DATA!$A22</f>
        <v>42125</v>
      </c>
      <c r="G5" s="50">
        <f>DATA!$A23</f>
        <v>42156</v>
      </c>
      <c r="H5" s="50">
        <f>DATA!$A24</f>
        <v>42186</v>
      </c>
      <c r="I5" s="50">
        <f>DATA!$A25</f>
        <v>42217</v>
      </c>
      <c r="J5" s="50">
        <f>DATA!$A26</f>
        <v>42248</v>
      </c>
      <c r="K5" s="50">
        <f>DATA!$A27</f>
        <v>42278</v>
      </c>
      <c r="L5" s="50">
        <f>DATA!$A28</f>
        <v>42309</v>
      </c>
      <c r="M5" s="50">
        <f>DATA!$A29</f>
        <v>42339</v>
      </c>
    </row>
    <row r="6" spans="1:27" ht="14.5" customHeight="1" x14ac:dyDescent="0.2">
      <c r="A6" s="46" t="s">
        <v>19</v>
      </c>
      <c r="B6" s="47">
        <f>IF($AA$4&gt;=1,Survey!$B$18,0)</f>
        <v>70000</v>
      </c>
      <c r="C6" s="42">
        <f>IF($AA$4&gt;1,Survey!$B$19,0)</f>
        <v>210000</v>
      </c>
      <c r="D6" s="36">
        <f>IF($AA$4&gt;2,Survey!$B$20,0)</f>
        <v>180000</v>
      </c>
      <c r="E6" s="36">
        <f>IF($AA$4&gt;3,Survey!$B$21,0)</f>
        <v>93000</v>
      </c>
      <c r="F6" s="36">
        <f>IF($AA$4&gt;4,Survey!$B$22,0)</f>
        <v>320000</v>
      </c>
      <c r="G6" s="36">
        <f>IF($AA$4&gt;5,Survey!$B$23,0)</f>
        <v>0</v>
      </c>
      <c r="H6" s="36">
        <f>IF($AA$4&gt;6,Survey!$B$24,0)</f>
        <v>0</v>
      </c>
      <c r="I6" s="36">
        <f>IF($AA$4&gt;7,Survey!$B$25,0)</f>
        <v>0</v>
      </c>
      <c r="J6" s="36">
        <f>IF($AA$4&gt;8,Survey!$B$26,0)</f>
        <v>0</v>
      </c>
      <c r="K6" s="36">
        <f>IF($AA$4&gt;9,Survey!$B$27,0)</f>
        <v>0</v>
      </c>
      <c r="L6" s="36">
        <f>IF($AA$4&gt;10,Survey!$B$28,0)</f>
        <v>0</v>
      </c>
      <c r="M6" s="36">
        <f>IF($AA$4&gt;11,Survey!$B$29,0)</f>
        <v>0</v>
      </c>
    </row>
    <row r="7" spans="1:27" x14ac:dyDescent="0.2">
      <c r="A7" s="45" t="s">
        <v>18</v>
      </c>
      <c r="B7" s="42">
        <f>IF($AA$4&gt;=1,Survey!$D18,0)</f>
        <v>87354</v>
      </c>
      <c r="C7" s="36">
        <f>IF($AA$4&gt;1,Survey!$D19,0)</f>
        <v>93467</v>
      </c>
      <c r="D7" s="36">
        <f>IF($AA$4&gt;2,Survey!$D20,0)</f>
        <v>227174</v>
      </c>
      <c r="E7" s="36">
        <f>IF($AA$4&gt;3,Survey!$D21,0)</f>
        <v>0</v>
      </c>
      <c r="F7" s="36">
        <f>IF($AA$4&gt;4,Survey!$D22,0)</f>
        <v>0</v>
      </c>
      <c r="G7" s="36">
        <f>IF($AA$4&gt;5,Survey!$D23,0)</f>
        <v>0</v>
      </c>
      <c r="H7" s="36">
        <f>IF($AA$4&gt;6,Survey!$D24,0)</f>
        <v>0</v>
      </c>
      <c r="I7" s="36">
        <f>IF($AA$4&gt;7,Survey!$D25,0)</f>
        <v>0</v>
      </c>
      <c r="J7" s="36">
        <f>IF($AA$4&gt;8,Survey!$D26,0)</f>
        <v>0</v>
      </c>
      <c r="K7" s="36">
        <f>IF($AA$4&gt;9,Survey!$D27,0)</f>
        <v>0</v>
      </c>
      <c r="L7" s="36">
        <f>IF($AA$4&gt;10,Survey!$D28,0)</f>
        <v>0</v>
      </c>
      <c r="M7" s="36">
        <f>IF($AA$4&gt;11,Survey!$D29,0)</f>
        <v>0</v>
      </c>
      <c r="AA7" s="31">
        <f>DATA!A18</f>
        <v>42005</v>
      </c>
    </row>
    <row r="8" spans="1:27" x14ac:dyDescent="0.2">
      <c r="A8" s="44" t="s">
        <v>23</v>
      </c>
      <c r="B8" s="42">
        <f>IF($AA$4&gt;=1,B7-B6,0)</f>
        <v>17354</v>
      </c>
      <c r="C8" s="42">
        <f>IF($AA$4&gt;1,C7-C6,0)</f>
        <v>-116533</v>
      </c>
      <c r="D8" s="42">
        <f>IF($AA$4&gt;2,D7-D6,0)</f>
        <v>47174</v>
      </c>
      <c r="E8" s="42">
        <f>IF($AA$4&gt;3,E7-E6,0)</f>
        <v>-93000</v>
      </c>
      <c r="F8" s="42">
        <f>IF($AA$4&gt;4,F7-F6,0)</f>
        <v>-320000</v>
      </c>
      <c r="G8" s="42">
        <f>IF($AA$4&gt;5,G7-G6,0)</f>
        <v>0</v>
      </c>
      <c r="H8" s="42">
        <f>IF($AA$4&gt;6,H7-H6,0)</f>
        <v>0</v>
      </c>
      <c r="I8" s="42">
        <f>IF($AA$4&gt;7,I7-I6,0)</f>
        <v>0</v>
      </c>
      <c r="J8" s="42">
        <f>IF($AA$4&gt;8,J7-J6,0)</f>
        <v>0</v>
      </c>
      <c r="K8" s="42">
        <f>IF($AA$4&gt;9,K7-K6,0)</f>
        <v>0</v>
      </c>
      <c r="L8" s="42">
        <f>IF($AA$4&gt;10,L7-L6,0)</f>
        <v>0</v>
      </c>
      <c r="M8" s="42">
        <f>IF($AA$4&gt;11,M7-M6,0)</f>
        <v>0</v>
      </c>
      <c r="AA8" s="31">
        <f>DATA!A19</f>
        <v>42036</v>
      </c>
    </row>
    <row r="9" spans="1:27" x14ac:dyDescent="0.2">
      <c r="C9" s="28"/>
      <c r="D9" s="28"/>
      <c r="E9" s="28"/>
      <c r="F9" s="29"/>
      <c r="AA9" s="31">
        <f>DATA!A20</f>
        <v>42064</v>
      </c>
    </row>
    <row r="10" spans="1:27" x14ac:dyDescent="0.2">
      <c r="C10" s="28"/>
      <c r="D10" s="28"/>
      <c r="E10" s="28"/>
      <c r="F10" s="28"/>
      <c r="AA10" s="31">
        <f>DATA!A21</f>
        <v>42095</v>
      </c>
    </row>
    <row r="11" spans="1:27" x14ac:dyDescent="0.2">
      <c r="C11" s="28"/>
      <c r="D11" s="28"/>
      <c r="E11" s="28"/>
      <c r="F11" s="28"/>
      <c r="G11" s="28"/>
      <c r="H11" s="28"/>
      <c r="I11" s="28"/>
      <c r="AA11" s="31">
        <f>DATA!A22</f>
        <v>42125</v>
      </c>
    </row>
    <row r="12" spans="1:27" x14ac:dyDescent="0.2">
      <c r="C12" s="28"/>
      <c r="D12" s="28"/>
      <c r="E12" s="28"/>
      <c r="F12" s="28"/>
      <c r="G12" s="28"/>
      <c r="H12" s="28"/>
      <c r="I12" s="28"/>
      <c r="AA12" s="31">
        <f>DATA!A23</f>
        <v>42156</v>
      </c>
    </row>
    <row r="13" spans="1:27" x14ac:dyDescent="0.2">
      <c r="C13" s="28"/>
      <c r="D13" s="28"/>
      <c r="E13" s="28"/>
      <c r="F13" s="28"/>
      <c r="G13" s="28"/>
      <c r="H13" s="28"/>
      <c r="I13" s="28"/>
      <c r="AA13" s="31">
        <f>DATA!A24</f>
        <v>42186</v>
      </c>
    </row>
    <row r="14" spans="1:27" x14ac:dyDescent="0.2">
      <c r="C14" s="28"/>
      <c r="D14" s="28"/>
      <c r="E14" s="28"/>
      <c r="F14" s="28"/>
      <c r="G14" s="28"/>
      <c r="H14" s="28"/>
      <c r="I14" s="28"/>
      <c r="J14" s="28"/>
      <c r="AA14" s="31">
        <f>DATA!A25</f>
        <v>42217</v>
      </c>
    </row>
    <row r="15" spans="1:27" x14ac:dyDescent="0.2">
      <c r="C15" s="28"/>
      <c r="D15" s="28"/>
      <c r="E15" s="28"/>
      <c r="F15" s="28"/>
      <c r="G15" s="28"/>
      <c r="H15" s="28"/>
      <c r="I15" s="28"/>
      <c r="J15" s="28"/>
      <c r="K15" s="28"/>
      <c r="AA15" s="31">
        <f>DATA!A26</f>
        <v>42248</v>
      </c>
    </row>
    <row r="16" spans="1:27" x14ac:dyDescent="0.2">
      <c r="C16" s="28"/>
      <c r="D16" s="28"/>
      <c r="E16" s="28"/>
      <c r="F16" s="28"/>
      <c r="G16" s="28"/>
      <c r="H16" s="28"/>
      <c r="I16" s="28"/>
      <c r="J16" s="28"/>
      <c r="K16" s="28"/>
      <c r="L16" s="28"/>
      <c r="AA16" s="31">
        <f>DATA!A27</f>
        <v>42278</v>
      </c>
    </row>
    <row r="17" spans="2:27" ht="10.5" thickBot="1" x14ac:dyDescent="0.25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AA17" s="31">
        <f>DATA!A28</f>
        <v>42309</v>
      </c>
    </row>
    <row r="18" spans="2:27" ht="11" thickBot="1" x14ac:dyDescent="0.3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O18" s="84" t="str">
        <f>Navigation!$A$1</f>
        <v>Sell me more!</v>
      </c>
      <c r="AA18" s="31">
        <f>DATA!A29</f>
        <v>42339</v>
      </c>
    </row>
    <row r="19" spans="2:27" x14ac:dyDescent="0.2">
      <c r="B19" s="27"/>
      <c r="D19" s="25"/>
      <c r="E19" s="25"/>
      <c r="F19" s="25"/>
    </row>
    <row r="20" spans="2:27" x14ac:dyDescent="0.2">
      <c r="B20" s="27"/>
      <c r="D20" s="25"/>
      <c r="E20" s="25"/>
      <c r="F20" s="25"/>
      <c r="AA20" s="31">
        <f>INDEX(AA7:AA18,AA$4)</f>
        <v>42125</v>
      </c>
    </row>
    <row r="21" spans="2:27" x14ac:dyDescent="0.2">
      <c r="B21" s="27"/>
      <c r="D21" s="25"/>
      <c r="E21" s="25"/>
      <c r="F21" s="25"/>
    </row>
    <row r="22" spans="2:27" x14ac:dyDescent="0.2">
      <c r="B22" s="27"/>
      <c r="D22" s="25"/>
      <c r="E22" s="25"/>
      <c r="F22" s="25"/>
    </row>
    <row r="23" spans="2:27" x14ac:dyDescent="0.2">
      <c r="B23" s="27"/>
      <c r="D23" s="25"/>
      <c r="E23" s="25"/>
      <c r="F23" s="25"/>
    </row>
    <row r="24" spans="2:27" x14ac:dyDescent="0.2">
      <c r="B24" s="27"/>
      <c r="D24" s="25"/>
      <c r="E24" s="25"/>
      <c r="F24" s="25"/>
    </row>
    <row r="25" spans="2:27" x14ac:dyDescent="0.2">
      <c r="B25" s="27"/>
      <c r="D25" s="25"/>
      <c r="E25" s="25"/>
      <c r="F25" s="25"/>
    </row>
    <row r="26" spans="2:27" x14ac:dyDescent="0.2">
      <c r="B26" s="27"/>
      <c r="D26" s="25"/>
      <c r="E26" s="25"/>
      <c r="F26" s="25"/>
    </row>
  </sheetData>
  <phoneticPr fontId="3" type="noConversion"/>
  <hyperlinks>
    <hyperlink ref="O18" location="Navigation!A1" display="=Navigation!$A$1"/>
  </hyperlinks>
  <pageMargins left="0.78740157499999996" right="0.78740157499999996" top="0.984251969" bottom="0.984251969" header="0.4921259845" footer="0.4921259845"/>
  <pageSetup paperSize="9" scale="1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ist Box 1">
              <controlPr defaultSize="0" autoLine="0" autoPict="0">
                <anchor moveWithCells="1">
                  <from>
                    <xdr:col>14</xdr:col>
                    <xdr:colOff>31750</xdr:colOff>
                    <xdr:row>0</xdr:row>
                    <xdr:rowOff>88900</xdr:rowOff>
                  </from>
                  <to>
                    <xdr:col>14</xdr:col>
                    <xdr:colOff>882650</xdr:colOff>
                    <xdr:row>12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showGridLines="0" zoomScale="140" workbookViewId="0">
      <selection activeCell="B1" sqref="B1"/>
    </sheetView>
  </sheetViews>
  <sheetFormatPr baseColWidth="10" defaultColWidth="11.453125" defaultRowHeight="10" x14ac:dyDescent="0.2"/>
  <cols>
    <col min="1" max="1" width="4" style="26" customWidth="1"/>
    <col min="2" max="3" width="6.54296875" style="25" customWidth="1"/>
    <col min="4" max="13" width="6.54296875" style="26" customWidth="1"/>
    <col min="14" max="14" width="2.26953125" style="26" customWidth="1"/>
    <col min="15" max="15" width="16.1796875" style="26" customWidth="1"/>
    <col min="16" max="16384" width="11.453125" style="26"/>
  </cols>
  <sheetData>
    <row r="1" spans="1:27" ht="13" x14ac:dyDescent="0.3">
      <c r="A1" s="53" t="s">
        <v>22</v>
      </c>
      <c r="C1" s="30"/>
      <c r="D1" s="30"/>
      <c r="E1" s="30"/>
      <c r="G1" s="39" t="s">
        <v>1</v>
      </c>
      <c r="H1" s="38">
        <f>DATA!C7</f>
        <v>2015</v>
      </c>
      <c r="J1" s="33"/>
      <c r="K1" s="34"/>
      <c r="L1" s="34"/>
      <c r="M1" s="40" t="str">
        <f>DATA!$B$5</f>
        <v>Meulenburger &amp; Trapp KG</v>
      </c>
      <c r="AA1" s="26" t="s">
        <v>16</v>
      </c>
    </row>
    <row r="2" spans="1:27" ht="12" x14ac:dyDescent="0.3">
      <c r="A2" s="51"/>
      <c r="B2" s="52"/>
      <c r="C2" s="52"/>
      <c r="D2" s="52"/>
      <c r="E2" s="30"/>
      <c r="K2" s="30"/>
    </row>
    <row r="3" spans="1:27" x14ac:dyDescent="0.2">
      <c r="A3" s="54" t="str">
        <f>DATA!$A$9</f>
        <v>Berichtswährung:</v>
      </c>
      <c r="B3" s="55"/>
      <c r="D3" s="56" t="str">
        <f>DATA!$B$9</f>
        <v>SF</v>
      </c>
      <c r="E3" s="30"/>
      <c r="G3" s="111" t="s">
        <v>82</v>
      </c>
      <c r="H3" s="112">
        <f>AA20</f>
        <v>42217</v>
      </c>
      <c r="K3" s="30"/>
    </row>
    <row r="4" spans="1:27" x14ac:dyDescent="0.2">
      <c r="AA4" s="32">
        <v>8</v>
      </c>
    </row>
    <row r="5" spans="1:27" x14ac:dyDescent="0.2">
      <c r="B5" s="48">
        <f>DATA!$A18</f>
        <v>42005</v>
      </c>
      <c r="C5" s="49">
        <f>DATA!$A19</f>
        <v>42036</v>
      </c>
      <c r="D5" s="50">
        <f>DATA!$A20</f>
        <v>42064</v>
      </c>
      <c r="E5" s="50">
        <f>DATA!$A21</f>
        <v>42095</v>
      </c>
      <c r="F5" s="50">
        <f>DATA!$A22</f>
        <v>42125</v>
      </c>
      <c r="G5" s="50">
        <f>DATA!$A23</f>
        <v>42156</v>
      </c>
      <c r="H5" s="50">
        <f>DATA!$A24</f>
        <v>42186</v>
      </c>
      <c r="I5" s="50">
        <f>DATA!$A25</f>
        <v>42217</v>
      </c>
      <c r="J5" s="50">
        <f>DATA!$A26</f>
        <v>42248</v>
      </c>
      <c r="K5" s="50">
        <f>DATA!$A27</f>
        <v>42278</v>
      </c>
      <c r="L5" s="50">
        <f>DATA!$A28</f>
        <v>42309</v>
      </c>
      <c r="M5" s="50">
        <f>DATA!$A29</f>
        <v>42339</v>
      </c>
    </row>
    <row r="6" spans="1:27" ht="14.5" customHeight="1" x14ac:dyDescent="0.2">
      <c r="A6" s="46" t="s">
        <v>19</v>
      </c>
      <c r="B6" s="47">
        <f>IF($AA$4&gt;=1,Survey!$K$18,0)</f>
        <v>70000</v>
      </c>
      <c r="C6" s="42">
        <f>IF($AA$4&gt;1,Survey!$K$19,0)</f>
        <v>280000</v>
      </c>
      <c r="D6" s="36">
        <f>IF($AA$4&gt;2,Survey!$K$20,0)</f>
        <v>460000</v>
      </c>
      <c r="E6" s="36">
        <f>IF($AA$4&gt;3,Survey!$K$21,0)</f>
        <v>553000</v>
      </c>
      <c r="F6" s="36">
        <f>IF($AA$4&gt;4,Survey!$K$22,0)</f>
        <v>873000</v>
      </c>
      <c r="G6" s="36">
        <f>IF($AA$4&gt;5,Survey!$K$23,0)</f>
        <v>993000</v>
      </c>
      <c r="H6" s="36">
        <f>IF($AA$4&gt;6,Survey!$K$24,0)</f>
        <v>1073000</v>
      </c>
      <c r="I6" s="36">
        <f>IF($AA$4&gt;7,Survey!$K$25,0)</f>
        <v>1123000</v>
      </c>
      <c r="J6" s="36">
        <f>IF($AA$4&gt;8,Survey!$K$26,0)</f>
        <v>0</v>
      </c>
      <c r="K6" s="36">
        <f>IF($AA$4&gt;9,Survey!$K$27,0)</f>
        <v>0</v>
      </c>
      <c r="L6" s="36">
        <f>IF($AA$4&gt;10,Survey!$K$28,0)</f>
        <v>0</v>
      </c>
      <c r="M6" s="36">
        <f>IF($AA$4&gt;11,Survey!$K$29,0)</f>
        <v>0</v>
      </c>
    </row>
    <row r="7" spans="1:27" x14ac:dyDescent="0.2">
      <c r="A7" s="45" t="s">
        <v>18</v>
      </c>
      <c r="B7" s="42">
        <f>IF($AA$4&gt;=1,Survey!$M18,0)</f>
        <v>87354</v>
      </c>
      <c r="C7" s="36">
        <f>IF($AA$4&gt;1,Survey!$M19,0)</f>
        <v>180821</v>
      </c>
      <c r="D7" s="36">
        <f>IF($AA$4&gt;2,Survey!$M20,0)</f>
        <v>407995</v>
      </c>
      <c r="E7" s="36">
        <f>IF($AA$4&gt;3,Survey!$M21,0)</f>
        <v>407995</v>
      </c>
      <c r="F7" s="36">
        <f>IF($AA$4&gt;4,Survey!$M22,0)</f>
        <v>407995</v>
      </c>
      <c r="G7" s="36">
        <f>IF($AA$4&gt;5,Survey!$M23,0)</f>
        <v>407995</v>
      </c>
      <c r="H7" s="36">
        <f>IF($AA$4&gt;6,Survey!$M24,0)</f>
        <v>407995</v>
      </c>
      <c r="I7" s="36">
        <f>IF($AA$4&gt;7,Survey!$M25,0)</f>
        <v>407995</v>
      </c>
      <c r="J7" s="36">
        <f>IF($AA$4&gt;8,Survey!$M26,0)</f>
        <v>0</v>
      </c>
      <c r="K7" s="36">
        <f>IF($AA$4&gt;9,Survey!$M27,0)</f>
        <v>0</v>
      </c>
      <c r="L7" s="36">
        <f>IF($AA$4&gt;10,Survey!$M28,0)</f>
        <v>0</v>
      </c>
      <c r="M7" s="36">
        <f>IF($AA$4&gt;11,Survey!$M29,0)</f>
        <v>0</v>
      </c>
      <c r="AA7" s="31">
        <f>DATA!A18</f>
        <v>42005</v>
      </c>
    </row>
    <row r="8" spans="1:27" x14ac:dyDescent="0.2">
      <c r="A8" s="44" t="s">
        <v>23</v>
      </c>
      <c r="B8" s="42">
        <f>IF($AA$4&gt;=1,B7-B6,0)</f>
        <v>17354</v>
      </c>
      <c r="C8" s="42">
        <f>IF($AA$4&gt;1,C7-C6,0)</f>
        <v>-99179</v>
      </c>
      <c r="D8" s="42">
        <f>IF($AA$4&gt;2,D7-D6,0)</f>
        <v>-52005</v>
      </c>
      <c r="E8" s="42">
        <f>IF($AA$4&gt;3,E7-E6,0)</f>
        <v>-145005</v>
      </c>
      <c r="F8" s="42">
        <f>IF($AA$4&gt;4,F7-F6,0)</f>
        <v>-465005</v>
      </c>
      <c r="G8" s="42">
        <f>IF($AA$4&gt;5,G7-G6,0)</f>
        <v>-585005</v>
      </c>
      <c r="H8" s="42">
        <f>IF($AA$4&gt;6,H7-H6,0)</f>
        <v>-665005</v>
      </c>
      <c r="I8" s="42">
        <f>IF($AA$4&gt;7,I7-I6,0)</f>
        <v>-715005</v>
      </c>
      <c r="J8" s="42">
        <f>IF($AA$4&gt;8,J7-J6,0)</f>
        <v>0</v>
      </c>
      <c r="K8" s="42">
        <f>IF($AA$4&gt;9,K7-K6,0)</f>
        <v>0</v>
      </c>
      <c r="L8" s="42">
        <f>IF($AA$4&gt;10,L7-L6,0)</f>
        <v>0</v>
      </c>
      <c r="M8" s="42">
        <f>IF($AA$4&gt;11,M7-M6,0)</f>
        <v>0</v>
      </c>
      <c r="AA8" s="31">
        <f>DATA!A19</f>
        <v>42036</v>
      </c>
    </row>
    <row r="9" spans="1:27" x14ac:dyDescent="0.2">
      <c r="C9" s="28"/>
      <c r="D9" s="28"/>
      <c r="E9" s="28"/>
      <c r="F9" s="29"/>
      <c r="AA9" s="31">
        <f>DATA!A20</f>
        <v>42064</v>
      </c>
    </row>
    <row r="10" spans="1:27" x14ac:dyDescent="0.2">
      <c r="C10" s="28"/>
      <c r="D10" s="28"/>
      <c r="E10" s="28"/>
      <c r="F10" s="28"/>
      <c r="AA10" s="31">
        <f>DATA!A21</f>
        <v>42095</v>
      </c>
    </row>
    <row r="11" spans="1:27" x14ac:dyDescent="0.2">
      <c r="C11" s="28"/>
      <c r="D11" s="28"/>
      <c r="E11" s="28"/>
      <c r="F11" s="28"/>
      <c r="G11" s="28"/>
      <c r="H11" s="28"/>
      <c r="I11" s="28"/>
      <c r="AA11" s="31">
        <f>DATA!A22</f>
        <v>42125</v>
      </c>
    </row>
    <row r="12" spans="1:27" x14ac:dyDescent="0.2">
      <c r="C12" s="28"/>
      <c r="D12" s="28"/>
      <c r="E12" s="28"/>
      <c r="F12" s="28"/>
      <c r="G12" s="28"/>
      <c r="H12" s="28"/>
      <c r="I12" s="28"/>
      <c r="AA12" s="31">
        <f>DATA!A23</f>
        <v>42156</v>
      </c>
    </row>
    <row r="13" spans="1:27" x14ac:dyDescent="0.2">
      <c r="C13" s="28"/>
      <c r="D13" s="28"/>
      <c r="E13" s="28"/>
      <c r="F13" s="28"/>
      <c r="G13" s="28"/>
      <c r="H13" s="28"/>
      <c r="I13" s="28"/>
      <c r="AA13" s="31">
        <f>DATA!A24</f>
        <v>42186</v>
      </c>
    </row>
    <row r="14" spans="1:27" x14ac:dyDescent="0.2">
      <c r="C14" s="28"/>
      <c r="D14" s="28"/>
      <c r="E14" s="28"/>
      <c r="F14" s="28"/>
      <c r="G14" s="28"/>
      <c r="H14" s="28"/>
      <c r="I14" s="28"/>
      <c r="J14" s="28"/>
      <c r="AA14" s="31">
        <f>DATA!A25</f>
        <v>42217</v>
      </c>
    </row>
    <row r="15" spans="1:27" x14ac:dyDescent="0.2">
      <c r="C15" s="28"/>
      <c r="D15" s="28"/>
      <c r="E15" s="28"/>
      <c r="F15" s="28"/>
      <c r="G15" s="28"/>
      <c r="H15" s="28"/>
      <c r="I15" s="28"/>
      <c r="J15" s="28"/>
      <c r="K15" s="28"/>
      <c r="AA15" s="31">
        <f>DATA!A26</f>
        <v>42248</v>
      </c>
    </row>
    <row r="16" spans="1:27" x14ac:dyDescent="0.2">
      <c r="C16" s="28"/>
      <c r="D16" s="28"/>
      <c r="E16" s="28"/>
      <c r="F16" s="28"/>
      <c r="G16" s="28"/>
      <c r="H16" s="28"/>
      <c r="I16" s="28"/>
      <c r="J16" s="28"/>
      <c r="K16" s="28"/>
      <c r="L16" s="28"/>
      <c r="AA16" s="31">
        <f>DATA!A27</f>
        <v>42278</v>
      </c>
    </row>
    <row r="17" spans="2:27" x14ac:dyDescent="0.2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AA17" s="31">
        <f>DATA!A28</f>
        <v>42309</v>
      </c>
    </row>
    <row r="18" spans="2:27" ht="10.5" thickBot="1" x14ac:dyDescent="0.25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AA18" s="31">
        <f>DATA!A29</f>
        <v>42339</v>
      </c>
    </row>
    <row r="19" spans="2:27" ht="11" thickBot="1" x14ac:dyDescent="0.3">
      <c r="B19" s="27"/>
      <c r="D19" s="25"/>
      <c r="E19" s="25"/>
      <c r="F19" s="25"/>
      <c r="O19" s="84" t="str">
        <f>Navigation!$A$1</f>
        <v>Sell me more!</v>
      </c>
    </row>
    <row r="20" spans="2:27" x14ac:dyDescent="0.2">
      <c r="B20" s="27"/>
      <c r="D20" s="25"/>
      <c r="E20" s="25"/>
      <c r="F20" s="25"/>
      <c r="AA20" s="31">
        <f>INDEX(AA7:AA18,AA$4)</f>
        <v>42217</v>
      </c>
    </row>
    <row r="21" spans="2:27" x14ac:dyDescent="0.2">
      <c r="B21" s="27"/>
      <c r="D21" s="25"/>
      <c r="E21" s="25"/>
      <c r="F21" s="25"/>
    </row>
    <row r="22" spans="2:27" x14ac:dyDescent="0.2">
      <c r="B22" s="27"/>
      <c r="D22" s="25"/>
      <c r="E22" s="25"/>
      <c r="F22" s="25"/>
    </row>
    <row r="23" spans="2:27" x14ac:dyDescent="0.2">
      <c r="B23" s="27"/>
      <c r="D23" s="25"/>
      <c r="E23" s="25"/>
      <c r="F23" s="25"/>
    </row>
    <row r="24" spans="2:27" x14ac:dyDescent="0.2">
      <c r="B24" s="27"/>
      <c r="D24" s="25"/>
      <c r="E24" s="25"/>
      <c r="F24" s="25"/>
    </row>
    <row r="25" spans="2:27" x14ac:dyDescent="0.2">
      <c r="B25" s="27"/>
      <c r="D25" s="25"/>
      <c r="E25" s="25"/>
      <c r="F25" s="25"/>
    </row>
    <row r="26" spans="2:27" x14ac:dyDescent="0.2">
      <c r="B26" s="27"/>
      <c r="D26" s="25"/>
      <c r="E26" s="25"/>
      <c r="F26" s="25"/>
    </row>
  </sheetData>
  <phoneticPr fontId="3" type="noConversion"/>
  <hyperlinks>
    <hyperlink ref="O19" location="Navigation!A1" display="=Navigation!$A$1"/>
  </hyperlinks>
  <pageMargins left="0.78740157499999996" right="0.78740157499999996" top="0.984251969" bottom="0.984251969" header="0.4921259845" footer="0.4921259845"/>
  <pageSetup paperSize="9" scale="15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List Box 1">
              <controlPr defaultSize="0" autoLine="0" autoPict="0">
                <anchor moveWithCells="1">
                  <from>
                    <xdr:col>14</xdr:col>
                    <xdr:colOff>31750</xdr:colOff>
                    <xdr:row>0</xdr:row>
                    <xdr:rowOff>88900</xdr:rowOff>
                  </from>
                  <to>
                    <xdr:col>14</xdr:col>
                    <xdr:colOff>920750</xdr:colOff>
                    <xdr:row>12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7</vt:i4>
      </vt:variant>
    </vt:vector>
  </HeadingPairs>
  <TitlesOfParts>
    <vt:vector size="17" baseType="lpstr">
      <vt:lpstr>WELCOME</vt:lpstr>
      <vt:lpstr>Navigation</vt:lpstr>
      <vt:lpstr>DATA</vt:lpstr>
      <vt:lpstr>Survey</vt:lpstr>
      <vt:lpstr>UmsatzMonat</vt:lpstr>
      <vt:lpstr>TrendMonat</vt:lpstr>
      <vt:lpstr>TrendJahr</vt:lpstr>
      <vt:lpstr>AbweichungMonat</vt:lpstr>
      <vt:lpstr>AbweichungJahr</vt:lpstr>
      <vt:lpstr>JahrOffen</vt:lpstr>
      <vt:lpstr>AbweichungJahr!Druckbereich</vt:lpstr>
      <vt:lpstr>AbweichungMonat!Druckbereich</vt:lpstr>
      <vt:lpstr>JahrOffen!Druckbereich</vt:lpstr>
      <vt:lpstr>Survey!Druckbereich</vt:lpstr>
      <vt:lpstr>TrendJahr!Druckbereich</vt:lpstr>
      <vt:lpstr>TrendMonat!Druckbereich</vt:lpstr>
      <vt:lpstr>UmsatzMonat!Druckbereich</vt:lpstr>
    </vt:vector>
  </TitlesOfParts>
  <Company>Magic Workbooks Freebies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Magic Workbooks Freebies</dc:title>
  <dc:creator>Dr. No</dc:creator>
  <cp:lastModifiedBy>kbs_000</cp:lastModifiedBy>
  <cp:revision>1</cp:revision>
  <cp:lastPrinted>2006-05-24T23:35:49Z</cp:lastPrinted>
  <dcterms:created xsi:type="dcterms:W3CDTF">2006-01-06T20:10:48Z</dcterms:created>
  <dcterms:modified xsi:type="dcterms:W3CDTF">2014-10-30T12:39:57Z</dcterms:modified>
  <cp:category>Freebies</cp:category>
</cp:coreProperties>
</file>